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75" windowWidth="8475" windowHeight="6480" firstSheet="1" activeTab="2"/>
  </bookViews>
  <sheets>
    <sheet name="备份" sheetId="5" state="hidden" r:id="rId1"/>
    <sheet name="计算" sheetId="1" r:id="rId2"/>
    <sheet name="辅助" sheetId="3" r:id="rId3"/>
  </sheets>
  <definedNames>
    <definedName name="Z_FF1E879A_E9FC_4772_9EB5_FC03EFEBC3D5_.wvu.Rows" localSheetId="0" hidden="1">备份!$46:$75</definedName>
    <definedName name="Z_FF1E879A_E9FC_4772_9EB5_FC03EFEBC3D5_.wvu.Rows" localSheetId="1" hidden="1">计算!$40:$69</definedName>
    <definedName name="标准沙密度">辅助!$B$3</definedName>
    <definedName name="含水量差值">辅助!$J$4</definedName>
    <definedName name="含水量最大值">辅助!$H$4</definedName>
    <definedName name="含水量最小值">辅助!$G$4</definedName>
    <definedName name="盒号">辅助!$B$5:$M$5</definedName>
    <definedName name="盒号随机排列">辅助!$B$7:$M$7</definedName>
    <definedName name="盒质量">辅助!$B$6:$M$6</definedName>
    <definedName name="沙总重">辅助!$J$2</definedName>
    <definedName name="水份质量最大值">辅助!$H$3</definedName>
    <definedName name="水份质量最小值">辅助!$G$3</definedName>
    <definedName name="压实度最大值">辅助!$E$3</definedName>
    <definedName name="压实度最小值">辅助!$D$3</definedName>
    <definedName name="要求压实度">辅助!$J$3</definedName>
    <definedName name="余沙质量最大值">辅助!$E$4</definedName>
    <definedName name="余沙质量最小值">辅助!$D$4</definedName>
    <definedName name="锥体沙重">辅助!$B$4</definedName>
    <definedName name="最大干密度">辅助!$B$2</definedName>
  </definedNames>
  <calcPr calcId="125725" fullCalcOnLoad="1"/>
  <customWorkbookViews>
    <customWorkbookView name="zhouyi - 个人视图" guid="{FF1E879A-E9FC-4772-9EB5-FC03EFEBC3D5}" mergeInterval="0" personalView="1" maximized="1" windowWidth="796" windowHeight="454" activeSheetId="2"/>
  </customWorkbookViews>
</workbook>
</file>

<file path=xl/calcChain.xml><?xml version="1.0" encoding="utf-8"?>
<calcChain xmlns="http://schemas.openxmlformats.org/spreadsheetml/2006/main">
  <c r="K25" i="3"/>
  <c r="L25" s="1"/>
  <c r="I25"/>
  <c r="J25" s="1"/>
  <c r="G25"/>
  <c r="H25" s="1"/>
  <c r="E25"/>
  <c r="F25" s="1"/>
  <c r="C25"/>
  <c r="D25" s="1"/>
  <c r="C7"/>
  <c r="B7"/>
  <c r="D7"/>
  <c r="E7"/>
  <c r="F7"/>
  <c r="E8" s="1"/>
  <c r="G7"/>
  <c r="H7"/>
  <c r="I7"/>
  <c r="J7"/>
  <c r="K7"/>
  <c r="L7"/>
  <c r="M7"/>
  <c r="C8"/>
  <c r="D20" s="1"/>
  <c r="F8"/>
  <c r="G20" s="1"/>
  <c r="G8"/>
  <c r="H20" s="1"/>
  <c r="H8"/>
  <c r="I20"/>
  <c r="I21" s="1"/>
  <c r="I8"/>
  <c r="J20" s="1"/>
  <c r="B8"/>
  <c r="J8"/>
  <c r="K8"/>
  <c r="L19" s="1"/>
  <c r="L18" i="1" s="1"/>
  <c r="L8" i="3"/>
  <c r="M8"/>
  <c r="C12"/>
  <c r="E12"/>
  <c r="E14" s="1"/>
  <c r="G12"/>
  <c r="I12"/>
  <c r="K12"/>
  <c r="C13"/>
  <c r="C14" s="1"/>
  <c r="E13"/>
  <c r="G13"/>
  <c r="G14" s="1"/>
  <c r="I13"/>
  <c r="K13"/>
  <c r="K14" s="1"/>
  <c r="I14"/>
  <c r="I16" s="1"/>
  <c r="C29"/>
  <c r="E29"/>
  <c r="G29"/>
  <c r="I29"/>
  <c r="I27" s="1"/>
  <c r="K29"/>
  <c r="C19"/>
  <c r="D19"/>
  <c r="G19"/>
  <c r="H19"/>
  <c r="H18" i="1" s="1"/>
  <c r="I19" i="3"/>
  <c r="K19"/>
  <c r="K18" i="1" s="1"/>
  <c r="C20" i="3"/>
  <c r="C21" s="1"/>
  <c r="K20"/>
  <c r="K19" i="1" s="1"/>
  <c r="L20" i="3"/>
  <c r="L21" s="1"/>
  <c r="K21"/>
  <c r="K23" s="1"/>
  <c r="J27" i="5" s="1"/>
  <c r="C28" i="3"/>
  <c r="E28"/>
  <c r="G28"/>
  <c r="G27" s="1"/>
  <c r="I28"/>
  <c r="K28"/>
  <c r="K27" s="1"/>
  <c r="C11" i="1"/>
  <c r="E11"/>
  <c r="G11"/>
  <c r="I11"/>
  <c r="K11"/>
  <c r="C12"/>
  <c r="E12"/>
  <c r="G12"/>
  <c r="I12"/>
  <c r="K12"/>
  <c r="I13"/>
  <c r="C18"/>
  <c r="D18"/>
  <c r="G18"/>
  <c r="I18"/>
  <c r="C19"/>
  <c r="I19"/>
  <c r="L19"/>
  <c r="C27"/>
  <c r="E27"/>
  <c r="G27"/>
  <c r="I27"/>
  <c r="K27"/>
  <c r="C29"/>
  <c r="E29"/>
  <c r="G29"/>
  <c r="I29"/>
  <c r="K29"/>
  <c r="C8" i="5"/>
  <c r="C10"/>
  <c r="I10"/>
  <c r="D12"/>
  <c r="F12"/>
  <c r="H12"/>
  <c r="J12"/>
  <c r="D15"/>
  <c r="F15"/>
  <c r="H15"/>
  <c r="J15"/>
  <c r="D16"/>
  <c r="F16"/>
  <c r="H16"/>
  <c r="J16"/>
  <c r="D17"/>
  <c r="F17"/>
  <c r="H17"/>
  <c r="J17"/>
  <c r="D24"/>
  <c r="E24"/>
  <c r="F24"/>
  <c r="G24"/>
  <c r="H24"/>
  <c r="I24"/>
  <c r="J24"/>
  <c r="K24"/>
  <c r="J25"/>
  <c r="D32"/>
  <c r="F32"/>
  <c r="H32"/>
  <c r="J32"/>
  <c r="D34"/>
  <c r="F34"/>
  <c r="H34"/>
  <c r="J34"/>
  <c r="E16" i="3" l="1"/>
  <c r="E13" i="1"/>
  <c r="F18" i="5"/>
  <c r="F20" i="3"/>
  <c r="F19" i="1" s="1"/>
  <c r="F19" i="3"/>
  <c r="F18" i="1" s="1"/>
  <c r="I17" i="3"/>
  <c r="I15" i="1"/>
  <c r="I16" s="1"/>
  <c r="G21" i="3"/>
  <c r="G22" s="1"/>
  <c r="G19" i="1"/>
  <c r="K20"/>
  <c r="E27" i="3"/>
  <c r="C27"/>
  <c r="C18" s="1"/>
  <c r="K22"/>
  <c r="D8"/>
  <c r="E20" s="1"/>
  <c r="L20" i="1"/>
  <c r="K25" i="5"/>
  <c r="C23" i="3"/>
  <c r="D27" i="5" s="1"/>
  <c r="C20" i="1"/>
  <c r="D25" i="5"/>
  <c r="J19" i="1"/>
  <c r="J21" i="3"/>
  <c r="G23"/>
  <c r="H27" i="5" s="1"/>
  <c r="H25"/>
  <c r="F21" i="3"/>
  <c r="C26"/>
  <c r="G26"/>
  <c r="K26"/>
  <c r="L23"/>
  <c r="K27" i="5" s="1"/>
  <c r="K24" i="3"/>
  <c r="K21" i="1"/>
  <c r="J26" i="5"/>
  <c r="J28" s="1"/>
  <c r="J29" s="1"/>
  <c r="K16" i="3"/>
  <c r="K13" i="1"/>
  <c r="J18" i="5"/>
  <c r="G16" i="3"/>
  <c r="G13" i="1"/>
  <c r="H18" i="5"/>
  <c r="C13" i="1"/>
  <c r="C16" i="3"/>
  <c r="D18" i="5"/>
  <c r="I23" i="3"/>
  <c r="I22" s="1"/>
  <c r="I20" i="1"/>
  <c r="H19"/>
  <c r="H21" i="3"/>
  <c r="D19" i="1"/>
  <c r="D21" i="3"/>
  <c r="E19"/>
  <c r="E18" i="1" s="1"/>
  <c r="E26" i="3"/>
  <c r="E18" s="1"/>
  <c r="F23"/>
  <c r="G27" i="5" s="1"/>
  <c r="I26" i="3"/>
  <c r="J23"/>
  <c r="K18"/>
  <c r="G18"/>
  <c r="I18"/>
  <c r="I15" s="1"/>
  <c r="I14" i="1" s="1"/>
  <c r="I17" s="1"/>
  <c r="J19" i="3"/>
  <c r="J18" i="1" s="1"/>
  <c r="E17" i="3" l="1"/>
  <c r="F21" i="5" s="1"/>
  <c r="E15" i="1"/>
  <c r="E16" s="1"/>
  <c r="E15" i="3"/>
  <c r="G20" i="1"/>
  <c r="C22" i="3"/>
  <c r="E14" i="1"/>
  <c r="E17" s="1"/>
  <c r="F19" i="5"/>
  <c r="F20" s="1"/>
  <c r="I24" i="3"/>
  <c r="I21" i="1"/>
  <c r="I23" s="1"/>
  <c r="D20"/>
  <c r="E25" i="5"/>
  <c r="H20" i="1"/>
  <c r="I25" i="5"/>
  <c r="C17" i="3"/>
  <c r="C15" i="1"/>
  <c r="C16" s="1"/>
  <c r="G15"/>
  <c r="G16" s="1"/>
  <c r="G17" i="3"/>
  <c r="F22"/>
  <c r="F20" i="1"/>
  <c r="G25" i="5"/>
  <c r="J22" i="3"/>
  <c r="J20" i="1"/>
  <c r="F22" i="5"/>
  <c r="H23" i="3"/>
  <c r="I27" i="5" s="1"/>
  <c r="D23" i="3"/>
  <c r="E27" i="5" s="1"/>
  <c r="L22" i="3"/>
  <c r="E21"/>
  <c r="E19" i="1"/>
  <c r="K15"/>
  <c r="K16" s="1"/>
  <c r="K17" i="3"/>
  <c r="K22" i="1"/>
  <c r="K23"/>
  <c r="G24" i="3"/>
  <c r="G21" i="1"/>
  <c r="G23" s="1"/>
  <c r="H26" i="5"/>
  <c r="H28" s="1"/>
  <c r="H29" s="1"/>
  <c r="C24" i="3"/>
  <c r="C21" i="1"/>
  <c r="C23" s="1"/>
  <c r="D26" i="5"/>
  <c r="D28" s="1"/>
  <c r="D29" s="1"/>
  <c r="C22" i="1"/>
  <c r="C24" s="1"/>
  <c r="K15" i="3" l="1"/>
  <c r="J21" i="5"/>
  <c r="E23" i="3"/>
  <c r="F27" i="5" s="1"/>
  <c r="E20" i="1"/>
  <c r="F25" i="5"/>
  <c r="J24" i="3"/>
  <c r="J21" i="1"/>
  <c r="J23" s="1"/>
  <c r="G15" i="3"/>
  <c r="H21" i="5"/>
  <c r="G22" i="1"/>
  <c r="G24" s="1"/>
  <c r="K24"/>
  <c r="I22"/>
  <c r="I24" s="1"/>
  <c r="H22" i="3"/>
  <c r="L24"/>
  <c r="L21" i="1"/>
  <c r="K26" i="5"/>
  <c r="K28" s="1"/>
  <c r="K29" s="1"/>
  <c r="J30" s="1"/>
  <c r="F24" i="3"/>
  <c r="F21" i="1"/>
  <c r="F23" s="1"/>
  <c r="G26" i="5"/>
  <c r="C15" i="3"/>
  <c r="D21" i="5"/>
  <c r="G28"/>
  <c r="G29" s="1"/>
  <c r="D22" i="3"/>
  <c r="D24" l="1"/>
  <c r="D21" i="1"/>
  <c r="E26" i="5"/>
  <c r="E28" s="1"/>
  <c r="E29" s="1"/>
  <c r="D30" s="1"/>
  <c r="L23" i="1"/>
  <c r="L22"/>
  <c r="L24" s="1"/>
  <c r="K25" s="1"/>
  <c r="H24" i="3"/>
  <c r="H21" i="1"/>
  <c r="I26" i="5"/>
  <c r="I28" s="1"/>
  <c r="I29" s="1"/>
  <c r="H30" s="1"/>
  <c r="G14" i="1"/>
  <c r="G17" s="1"/>
  <c r="H19" i="5"/>
  <c r="H20" s="1"/>
  <c r="K14" i="1"/>
  <c r="K17" s="1"/>
  <c r="J19" i="5"/>
  <c r="J20" s="1"/>
  <c r="I25" i="1"/>
  <c r="I26" s="1"/>
  <c r="I28" s="1"/>
  <c r="J22"/>
  <c r="J24" s="1"/>
  <c r="F22"/>
  <c r="F24" s="1"/>
  <c r="E22" i="3"/>
  <c r="C14" i="1"/>
  <c r="C17" s="1"/>
  <c r="D19" i="5"/>
  <c r="D20" s="1"/>
  <c r="D22" s="1"/>
  <c r="H22"/>
  <c r="H31" s="1"/>
  <c r="H33" s="1"/>
  <c r="J22"/>
  <c r="J31" s="1"/>
  <c r="J33" s="1"/>
  <c r="D31" l="1"/>
  <c r="D33" s="1"/>
  <c r="E24" i="3"/>
  <c r="E21" i="1"/>
  <c r="F26" i="5"/>
  <c r="F28" s="1"/>
  <c r="F29" s="1"/>
  <c r="F30" s="1"/>
  <c r="F31" s="1"/>
  <c r="F33" s="1"/>
  <c r="K26" i="1"/>
  <c r="K28" s="1"/>
  <c r="H23"/>
  <c r="H22"/>
  <c r="D23"/>
  <c r="D22"/>
  <c r="D24" l="1"/>
  <c r="C25" s="1"/>
  <c r="C26" s="1"/>
  <c r="C28" s="1"/>
  <c r="H24"/>
  <c r="G25" s="1"/>
  <c r="G26" s="1"/>
  <c r="G28" s="1"/>
  <c r="E23"/>
  <c r="E22"/>
  <c r="E24" s="1"/>
  <c r="E25" s="1"/>
  <c r="E26" s="1"/>
  <c r="E28" s="1"/>
</calcChain>
</file>

<file path=xl/sharedStrings.xml><?xml version="1.0" encoding="utf-8"?>
<sst xmlns="http://schemas.openxmlformats.org/spreadsheetml/2006/main" count="106" uniqueCount="80">
  <si>
    <t>绕城高速路建设项目</t>
    <phoneticPr fontId="2" type="noConversion"/>
  </si>
  <si>
    <t>压实度检测记录</t>
    <phoneticPr fontId="2" type="noConversion"/>
  </si>
  <si>
    <t>合同号：</t>
    <phoneticPr fontId="2" type="noConversion"/>
  </si>
  <si>
    <t>C</t>
    <phoneticPr fontId="2" type="noConversion"/>
  </si>
  <si>
    <t>委托单位编号：</t>
    <phoneticPr fontId="2" type="noConversion"/>
  </si>
  <si>
    <t>桩号</t>
    <phoneticPr fontId="2" type="noConversion"/>
  </si>
  <si>
    <t>含水率（%）</t>
    <phoneticPr fontId="2" type="noConversion"/>
  </si>
  <si>
    <t>要求压实度（%）</t>
    <phoneticPr fontId="2" type="noConversion"/>
  </si>
  <si>
    <t>式样含水量</t>
    <phoneticPr fontId="2" type="noConversion"/>
  </si>
  <si>
    <t>盒号</t>
    <phoneticPr fontId="2" type="noConversion"/>
  </si>
  <si>
    <t>平均含水率（%）</t>
    <phoneticPr fontId="2" type="noConversion"/>
  </si>
  <si>
    <t>压实度（%）</t>
    <phoneticPr fontId="2" type="noConversion"/>
  </si>
  <si>
    <t>含石量（%）</t>
    <phoneticPr fontId="2" type="noConversion"/>
  </si>
  <si>
    <r>
      <t xml:space="preserve">编 </t>
    </r>
    <r>
      <rPr>
        <sz val="12"/>
        <rFont val="宋体"/>
        <charset val="134"/>
      </rPr>
      <t xml:space="preserve"> </t>
    </r>
    <r>
      <rPr>
        <sz val="12"/>
        <rFont val="宋体"/>
        <charset val="134"/>
      </rPr>
      <t>号：</t>
    </r>
    <phoneticPr fontId="2" type="noConversion"/>
  </si>
  <si>
    <t>试验人：</t>
    <phoneticPr fontId="2" type="noConversion"/>
  </si>
  <si>
    <t>校核人：</t>
    <phoneticPr fontId="2" type="noConversion"/>
  </si>
  <si>
    <t>监理工程师：</t>
    <phoneticPr fontId="2" type="noConversion"/>
  </si>
  <si>
    <r>
      <t>地面标高（c</t>
    </r>
    <r>
      <rPr>
        <sz val="12"/>
        <rFont val="宋体"/>
        <charset val="134"/>
      </rPr>
      <t>m</t>
    </r>
    <r>
      <rPr>
        <sz val="12"/>
        <rFont val="宋体"/>
        <charset val="134"/>
      </rPr>
      <t>）</t>
    </r>
    <phoneticPr fontId="2" type="noConversion"/>
  </si>
  <si>
    <r>
      <t>距中线距离(</t>
    </r>
    <r>
      <rPr>
        <sz val="12"/>
        <rFont val="宋体"/>
        <charset val="134"/>
      </rPr>
      <t>m)</t>
    </r>
    <r>
      <rPr>
        <sz val="12"/>
        <rFont val="宋体"/>
        <charset val="134"/>
      </rPr>
      <t>（左+右-）</t>
    </r>
    <phoneticPr fontId="2" type="noConversion"/>
  </si>
  <si>
    <r>
      <t>沙总重(</t>
    </r>
    <r>
      <rPr>
        <sz val="12"/>
        <rFont val="宋体"/>
        <charset val="134"/>
      </rPr>
      <t>g)</t>
    </r>
    <phoneticPr fontId="2" type="noConversion"/>
  </si>
  <si>
    <t>余沙重(g)</t>
    <phoneticPr fontId="2" type="noConversion"/>
  </si>
  <si>
    <t>锥体沙重(g)</t>
    <phoneticPr fontId="2" type="noConversion"/>
  </si>
  <si>
    <r>
      <t>量沙密度(g</t>
    </r>
    <r>
      <rPr>
        <sz val="12"/>
        <rFont val="宋体"/>
        <charset val="134"/>
      </rPr>
      <t>/cm</t>
    </r>
    <r>
      <rPr>
        <vertAlign val="superscript"/>
        <sz val="12"/>
        <rFont val="宋体"/>
        <charset val="134"/>
      </rPr>
      <t>3</t>
    </r>
    <r>
      <rPr>
        <sz val="12"/>
        <rFont val="宋体"/>
        <charset val="134"/>
      </rPr>
      <t>)</t>
    </r>
    <phoneticPr fontId="2" type="noConversion"/>
  </si>
  <si>
    <t>试样湿土重(g)</t>
    <phoneticPr fontId="2" type="noConversion"/>
  </si>
  <si>
    <r>
      <t>试坑体积(cm</t>
    </r>
    <r>
      <rPr>
        <vertAlign val="superscript"/>
        <sz val="12"/>
        <rFont val="宋体"/>
        <charset val="134"/>
      </rPr>
      <t>3</t>
    </r>
    <r>
      <rPr>
        <sz val="12"/>
        <rFont val="宋体"/>
        <charset val="134"/>
      </rPr>
      <t>)</t>
    </r>
    <phoneticPr fontId="2" type="noConversion"/>
  </si>
  <si>
    <r>
      <t>试样湿密度(g/cm</t>
    </r>
    <r>
      <rPr>
        <vertAlign val="superscript"/>
        <sz val="12"/>
        <rFont val="宋体"/>
        <charset val="134"/>
      </rPr>
      <t>3</t>
    </r>
    <r>
      <rPr>
        <sz val="12"/>
        <rFont val="宋体"/>
        <charset val="134"/>
      </rPr>
      <t>)</t>
    </r>
    <phoneticPr fontId="2" type="noConversion"/>
  </si>
  <si>
    <r>
      <t>试样干密度(g/cm</t>
    </r>
    <r>
      <rPr>
        <vertAlign val="superscript"/>
        <sz val="12"/>
        <rFont val="宋体"/>
        <charset val="134"/>
      </rPr>
      <t>3</t>
    </r>
    <r>
      <rPr>
        <sz val="12"/>
        <rFont val="宋体"/>
        <charset val="134"/>
      </rPr>
      <t>)</t>
    </r>
    <phoneticPr fontId="2" type="noConversion"/>
  </si>
  <si>
    <r>
      <t>标准干密度(g/cm</t>
    </r>
    <r>
      <rPr>
        <vertAlign val="superscript"/>
        <sz val="12"/>
        <rFont val="宋体"/>
        <charset val="134"/>
      </rPr>
      <t>3</t>
    </r>
    <r>
      <rPr>
        <sz val="12"/>
        <rFont val="宋体"/>
        <charset val="134"/>
      </rPr>
      <t>)</t>
    </r>
    <phoneticPr fontId="2" type="noConversion"/>
  </si>
  <si>
    <t>委托单位:</t>
    <phoneticPr fontId="2" type="noConversion"/>
  </si>
  <si>
    <t>铺筑材料:</t>
    <phoneticPr fontId="2" type="noConversion"/>
  </si>
  <si>
    <t>试验单位:</t>
    <phoneticPr fontId="2" type="noConversion"/>
  </si>
  <si>
    <t>试验日期:</t>
    <phoneticPr fontId="2" type="noConversion"/>
  </si>
  <si>
    <t>试验规格:</t>
    <phoneticPr fontId="2" type="noConversion"/>
  </si>
  <si>
    <t>承包单位：四川路桥建设集团有限公司</t>
    <phoneticPr fontId="2" type="noConversion"/>
  </si>
  <si>
    <t>监理单位：重庆中宇监理公司南充绕城路监理部</t>
    <phoneticPr fontId="2" type="noConversion"/>
  </si>
  <si>
    <r>
      <t>含水量(</t>
    </r>
    <r>
      <rPr>
        <sz val="12"/>
        <rFont val="宋体"/>
        <charset val="134"/>
      </rPr>
      <t>g)</t>
    </r>
    <phoneticPr fontId="2" type="noConversion"/>
  </si>
  <si>
    <r>
      <t>盒+湿土重</t>
    </r>
    <r>
      <rPr>
        <sz val="12"/>
        <rFont val="宋体"/>
        <charset val="134"/>
      </rPr>
      <t>(g)</t>
    </r>
    <phoneticPr fontId="2" type="noConversion"/>
  </si>
  <si>
    <r>
      <t>压实厚度及试坑深度</t>
    </r>
    <r>
      <rPr>
        <sz val="12"/>
        <rFont val="宋体"/>
        <charset val="134"/>
      </rPr>
      <t>(cm)</t>
    </r>
    <phoneticPr fontId="2" type="noConversion"/>
  </si>
  <si>
    <t>盒重(g)</t>
    <phoneticPr fontId="2" type="noConversion"/>
  </si>
  <si>
    <r>
      <t>盒+干土重</t>
    </r>
    <r>
      <rPr>
        <sz val="12"/>
        <rFont val="宋体"/>
        <charset val="134"/>
      </rPr>
      <t>(g)</t>
    </r>
    <phoneticPr fontId="2" type="noConversion"/>
  </si>
  <si>
    <t>干土重(g)</t>
    <phoneticPr fontId="2" type="noConversion"/>
  </si>
  <si>
    <t>试验人：</t>
    <phoneticPr fontId="2" type="noConversion"/>
  </si>
  <si>
    <t>干密度</t>
    <phoneticPr fontId="2" type="noConversion"/>
  </si>
  <si>
    <t>沙总重</t>
    <phoneticPr fontId="2" type="noConversion"/>
  </si>
  <si>
    <t>压实度</t>
    <phoneticPr fontId="2" type="noConversion"/>
  </si>
  <si>
    <t>要求压实度</t>
    <phoneticPr fontId="2" type="noConversion"/>
  </si>
  <si>
    <t>盒号</t>
    <phoneticPr fontId="2" type="noConversion"/>
  </si>
  <si>
    <r>
      <t>试坑体积(</t>
    </r>
    <r>
      <rPr>
        <sz val="12"/>
        <rFont val="宋体"/>
        <charset val="134"/>
      </rPr>
      <t>cm³)</t>
    </r>
    <phoneticPr fontId="2" type="noConversion"/>
  </si>
  <si>
    <r>
      <t>试样湿密度(g/</t>
    </r>
    <r>
      <rPr>
        <sz val="12"/>
        <rFont val="宋体"/>
        <charset val="134"/>
      </rPr>
      <t>cm³)</t>
    </r>
    <phoneticPr fontId="2" type="noConversion"/>
  </si>
  <si>
    <t>沙密度</t>
    <phoneticPr fontId="2" type="noConversion"/>
  </si>
  <si>
    <t>QQ:8151190</t>
    <phoneticPr fontId="2" type="noConversion"/>
  </si>
  <si>
    <t>Web:www.lq52.com</t>
    <phoneticPr fontId="2" type="noConversion"/>
  </si>
  <si>
    <t>盒质量(g)</t>
    <phoneticPr fontId="2" type="noConversion"/>
  </si>
  <si>
    <r>
      <t>盒+湿土质量</t>
    </r>
    <r>
      <rPr>
        <sz val="12"/>
        <rFont val="宋体"/>
        <charset val="134"/>
      </rPr>
      <t>(g)</t>
    </r>
    <phoneticPr fontId="2" type="noConversion"/>
  </si>
  <si>
    <r>
      <t>盒+干土质量</t>
    </r>
    <r>
      <rPr>
        <sz val="12"/>
        <rFont val="宋体"/>
        <charset val="134"/>
      </rPr>
      <t>(g)</t>
    </r>
    <phoneticPr fontId="2" type="noConversion"/>
  </si>
  <si>
    <r>
      <t>水分质量(</t>
    </r>
    <r>
      <rPr>
        <sz val="12"/>
        <rFont val="宋体"/>
        <charset val="134"/>
      </rPr>
      <t>g)</t>
    </r>
    <phoneticPr fontId="2" type="noConversion"/>
  </si>
  <si>
    <t>干土质量(g)</t>
    <phoneticPr fontId="2" type="noConversion"/>
  </si>
  <si>
    <t>盒质量</t>
    <phoneticPr fontId="2" type="noConversion"/>
  </si>
  <si>
    <t>余沙质量</t>
    <phoneticPr fontId="2" type="noConversion"/>
  </si>
  <si>
    <t>锥体沙重</t>
    <phoneticPr fontId="2" type="noConversion"/>
  </si>
  <si>
    <r>
      <t>筒质量</t>
    </r>
    <r>
      <rPr>
        <sz val="12"/>
        <rFont val="宋体"/>
        <charset val="134"/>
      </rPr>
      <t>+</t>
    </r>
    <r>
      <rPr>
        <sz val="12"/>
        <rFont val="宋体"/>
        <charset val="134"/>
      </rPr>
      <t>沙质量(</t>
    </r>
    <r>
      <rPr>
        <sz val="12"/>
        <rFont val="宋体"/>
        <charset val="134"/>
      </rPr>
      <t>g)</t>
    </r>
    <phoneticPr fontId="2" type="noConversion"/>
  </si>
  <si>
    <r>
      <t>流出砂质量(</t>
    </r>
    <r>
      <rPr>
        <sz val="12"/>
        <rFont val="宋体"/>
        <charset val="134"/>
      </rPr>
      <t>g)</t>
    </r>
    <phoneticPr fontId="2" type="noConversion"/>
  </si>
  <si>
    <t>试坑中湿土质量(g)</t>
    <phoneticPr fontId="2" type="noConversion"/>
  </si>
  <si>
    <r>
      <t>坑内砂质量(</t>
    </r>
    <r>
      <rPr>
        <sz val="12"/>
        <rFont val="宋体"/>
        <charset val="134"/>
      </rPr>
      <t>g)</t>
    </r>
    <phoneticPr fontId="2" type="noConversion"/>
  </si>
  <si>
    <t>要求压实度（%）</t>
    <phoneticPr fontId="2" type="noConversion"/>
  </si>
  <si>
    <r>
      <t>干密度(g/</t>
    </r>
    <r>
      <rPr>
        <sz val="12"/>
        <rFont val="宋体"/>
        <charset val="134"/>
      </rPr>
      <t>cm³)</t>
    </r>
    <phoneticPr fontId="2" type="noConversion"/>
  </si>
  <si>
    <r>
      <t>最大干密度(g/</t>
    </r>
    <r>
      <rPr>
        <sz val="12"/>
        <rFont val="宋体"/>
        <charset val="134"/>
      </rPr>
      <t>cm³)</t>
    </r>
    <phoneticPr fontId="2" type="noConversion"/>
  </si>
  <si>
    <t>实测压实度（%）</t>
    <phoneticPr fontId="2" type="noConversion"/>
  </si>
  <si>
    <r>
      <t>筒质量</t>
    </r>
    <r>
      <rPr>
        <sz val="12"/>
        <rFont val="宋体"/>
        <charset val="134"/>
      </rPr>
      <t>+余</t>
    </r>
    <r>
      <rPr>
        <sz val="12"/>
        <rFont val="宋体"/>
        <charset val="134"/>
      </rPr>
      <t>沙质量(</t>
    </r>
    <r>
      <rPr>
        <sz val="12"/>
        <rFont val="宋体"/>
        <charset val="134"/>
      </rPr>
      <t>g)</t>
    </r>
    <phoneticPr fontId="2" type="noConversion"/>
  </si>
  <si>
    <r>
      <t>含水量(</t>
    </r>
    <r>
      <rPr>
        <sz val="12"/>
        <rFont val="宋体"/>
        <charset val="134"/>
      </rPr>
      <t>%）</t>
    </r>
    <phoneticPr fontId="2" type="noConversion"/>
  </si>
  <si>
    <t>平均含水量（%）</t>
    <phoneticPr fontId="2" type="noConversion"/>
  </si>
  <si>
    <t>含水量</t>
    <phoneticPr fontId="2" type="noConversion"/>
  </si>
  <si>
    <t>最小值</t>
    <phoneticPr fontId="2" type="noConversion"/>
  </si>
  <si>
    <t>最大值</t>
    <phoneticPr fontId="2" type="noConversion"/>
  </si>
  <si>
    <t>含水量差值</t>
    <phoneticPr fontId="2" type="noConversion"/>
  </si>
  <si>
    <t>盒号随机排列</t>
    <phoneticPr fontId="2" type="noConversion"/>
  </si>
  <si>
    <t>烧含水量湿土质量</t>
    <phoneticPr fontId="2" type="noConversion"/>
  </si>
  <si>
    <r>
      <t>试样湿密度(g/</t>
    </r>
    <r>
      <rPr>
        <sz val="12"/>
        <rFont val="宋体"/>
        <charset val="134"/>
      </rPr>
      <t>cm³)</t>
    </r>
    <phoneticPr fontId="2" type="noConversion"/>
  </si>
  <si>
    <t>自己扩展数据</t>
    <phoneticPr fontId="2" type="noConversion"/>
  </si>
  <si>
    <t xml:space="preserve"> </t>
    <phoneticPr fontId="2" type="noConversion"/>
  </si>
</sst>
</file>

<file path=xl/styles.xml><?xml version="1.0" encoding="utf-8"?>
<styleSheet xmlns="http://schemas.openxmlformats.org/spreadsheetml/2006/main">
  <numFmts count="5">
    <numFmt numFmtId="184" formatCode="0.0_ "/>
    <numFmt numFmtId="185" formatCode="0.00_ "/>
    <numFmt numFmtId="186" formatCode="0.000_ "/>
    <numFmt numFmtId="188" formatCode="0_ "/>
    <numFmt numFmtId="190" formatCode="\K0\+000"/>
  </numFmts>
  <fonts count="11">
    <font>
      <sz val="12"/>
      <name val="宋体"/>
      <charset val="134"/>
    </font>
    <font>
      <sz val="12"/>
      <name val="宋体"/>
      <charset val="134"/>
    </font>
    <font>
      <sz val="9"/>
      <name val="宋体"/>
      <charset val="134"/>
    </font>
    <font>
      <sz val="20"/>
      <name val="黑体"/>
      <charset val="134"/>
    </font>
    <font>
      <u/>
      <sz val="12"/>
      <color indexed="12"/>
      <name val="宋体"/>
      <charset val="134"/>
    </font>
    <font>
      <vertAlign val="superscript"/>
      <sz val="12"/>
      <name val="宋体"/>
      <charset val="134"/>
    </font>
    <font>
      <sz val="14"/>
      <name val="宋体"/>
      <charset val="134"/>
    </font>
    <font>
      <i/>
      <sz val="12"/>
      <name val="楷体_GB2312"/>
      <family val="3"/>
      <charset val="134"/>
    </font>
    <font>
      <sz val="12"/>
      <name val="宋体"/>
      <charset val="134"/>
    </font>
    <font>
      <u/>
      <sz val="14"/>
      <name val="华文行楷"/>
      <charset val="134"/>
    </font>
    <font>
      <sz val="11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38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>
      <alignment vertical="center"/>
    </xf>
    <xf numFmtId="184" fontId="1" fillId="0" borderId="1" xfId="0" applyNumberFormat="1" applyFont="1" applyFill="1" applyBorder="1" applyAlignment="1">
      <alignment horizontal="center" vertical="center"/>
    </xf>
    <xf numFmtId="184" fontId="1" fillId="0" borderId="2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7" fillId="2" borderId="2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vertical="center"/>
    </xf>
    <xf numFmtId="0" fontId="1" fillId="2" borderId="0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Border="1">
      <alignment vertical="center"/>
    </xf>
    <xf numFmtId="0" fontId="3" fillId="2" borderId="0" xfId="0" applyNumberFormat="1" applyFont="1" applyFill="1" applyBorder="1" applyAlignment="1">
      <alignment horizontal="center" vertical="center"/>
    </xf>
    <xf numFmtId="0" fontId="0" fillId="2" borderId="0" xfId="0" applyNumberFormat="1" applyFill="1" applyBorder="1">
      <alignment vertical="center"/>
    </xf>
    <xf numFmtId="0" fontId="0" fillId="2" borderId="0" xfId="0" applyNumberFormat="1" applyFill="1">
      <alignment vertical="center"/>
    </xf>
    <xf numFmtId="0" fontId="0" fillId="2" borderId="0" xfId="0" applyFill="1" applyBorder="1">
      <alignment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>
      <alignment vertical="center"/>
    </xf>
    <xf numFmtId="0" fontId="8" fillId="0" borderId="0" xfId="0" applyFont="1" applyFill="1" applyBorder="1">
      <alignment vertical="center"/>
    </xf>
    <xf numFmtId="0" fontId="2" fillId="0" borderId="5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left" vertical="center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7" xfId="0" applyFont="1" applyBorder="1">
      <alignment vertical="center"/>
    </xf>
    <xf numFmtId="0" fontId="8" fillId="0" borderId="0" xfId="0" applyNumberFormat="1" applyFont="1" applyFill="1" applyBorder="1" applyAlignment="1">
      <alignment vertical="center"/>
    </xf>
    <xf numFmtId="0" fontId="8" fillId="0" borderId="0" xfId="0" applyNumberFormat="1" applyFont="1" applyFill="1" applyBorder="1">
      <alignment vertical="center"/>
    </xf>
    <xf numFmtId="0" fontId="8" fillId="0" borderId="1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vertical="center"/>
    </xf>
    <xf numFmtId="190" fontId="8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8" fillId="0" borderId="1" xfId="0" applyNumberFormat="1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0" xfId="1" applyNumberFormat="1" applyFill="1" applyBorder="1" applyAlignment="1" applyProtection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85" fontId="10" fillId="0" borderId="1" xfId="0" applyNumberFormat="1" applyFont="1" applyFill="1" applyBorder="1" applyAlignment="1">
      <alignment horizontal="center" vertical="center"/>
    </xf>
    <xf numFmtId="185" fontId="10" fillId="0" borderId="2" xfId="0" applyNumberFormat="1" applyFont="1" applyFill="1" applyBorder="1" applyAlignment="1">
      <alignment horizontal="center" vertical="center"/>
    </xf>
    <xf numFmtId="0" fontId="0" fillId="2" borderId="0" xfId="0" applyNumberFormat="1" applyFill="1" applyBorder="1" applyAlignment="1">
      <alignment horizontal="left" vertical="center"/>
    </xf>
    <xf numFmtId="0" fontId="0" fillId="2" borderId="0" xfId="0" applyNumberFormat="1" applyFill="1" applyBorder="1" applyAlignmen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9" xfId="0" applyNumberFormat="1" applyFont="1" applyFill="1" applyBorder="1" applyAlignment="1">
      <alignment vertical="center"/>
    </xf>
    <xf numFmtId="0" fontId="1" fillId="2" borderId="4" xfId="0" applyNumberFormat="1" applyFont="1" applyFill="1" applyBorder="1" applyAlignment="1">
      <alignment vertical="center"/>
    </xf>
    <xf numFmtId="0" fontId="1" fillId="0" borderId="4" xfId="0" applyNumberFormat="1" applyFont="1" applyFill="1" applyBorder="1" applyAlignment="1">
      <alignment horizontal="center" vertical="center"/>
    </xf>
    <xf numFmtId="0" fontId="1" fillId="0" borderId="11" xfId="0" applyNumberFormat="1" applyFont="1" applyFill="1" applyBorder="1" applyAlignment="1">
      <alignment horizontal="center" vertical="center"/>
    </xf>
    <xf numFmtId="185" fontId="1" fillId="2" borderId="1" xfId="0" applyNumberFormat="1" applyFont="1" applyFill="1" applyBorder="1" applyAlignment="1">
      <alignment horizontal="center" vertical="center"/>
    </xf>
    <xf numFmtId="185" fontId="1" fillId="2" borderId="2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vertical="center"/>
    </xf>
    <xf numFmtId="0" fontId="1" fillId="2" borderId="1" xfId="0" applyNumberFormat="1" applyFont="1" applyFill="1" applyBorder="1" applyAlignment="1">
      <alignment vertical="center"/>
    </xf>
    <xf numFmtId="184" fontId="1" fillId="0" borderId="1" xfId="0" applyNumberFormat="1" applyFont="1" applyFill="1" applyBorder="1" applyAlignment="1">
      <alignment horizontal="center" vertical="center"/>
    </xf>
    <xf numFmtId="184" fontId="1" fillId="0" borderId="2" xfId="0" applyNumberFormat="1" applyFont="1" applyFill="1" applyBorder="1" applyAlignment="1">
      <alignment horizontal="center" vertical="center"/>
    </xf>
    <xf numFmtId="186" fontId="1" fillId="0" borderId="1" xfId="0" applyNumberFormat="1" applyFont="1" applyFill="1" applyBorder="1" applyAlignment="1">
      <alignment horizontal="center" vertical="center"/>
    </xf>
    <xf numFmtId="186" fontId="1" fillId="0" borderId="2" xfId="0" applyNumberFormat="1" applyFont="1" applyFill="1" applyBorder="1" applyAlignment="1">
      <alignment horizontal="center" vertical="center"/>
    </xf>
    <xf numFmtId="0" fontId="6" fillId="2" borderId="5" xfId="0" applyNumberFormat="1" applyFont="1" applyFill="1" applyBorder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186" fontId="1" fillId="2" borderId="1" xfId="0" applyNumberFormat="1" applyFont="1" applyFill="1" applyBorder="1" applyAlignment="1">
      <alignment horizontal="center" vertical="center"/>
    </xf>
    <xf numFmtId="186" fontId="1" fillId="2" borderId="2" xfId="0" applyNumberFormat="1" applyFont="1" applyFill="1" applyBorder="1" applyAlignment="1">
      <alignment horizontal="center" vertical="center"/>
    </xf>
    <xf numFmtId="185" fontId="1" fillId="0" borderId="1" xfId="0" applyNumberFormat="1" applyFont="1" applyFill="1" applyBorder="1" applyAlignment="1">
      <alignment horizontal="center" vertical="center"/>
    </xf>
    <xf numFmtId="185" fontId="1" fillId="0" borderId="2" xfId="0" applyNumberFormat="1" applyFont="1" applyFill="1" applyBorder="1" applyAlignment="1">
      <alignment horizontal="center" vertical="center"/>
    </xf>
    <xf numFmtId="188" fontId="1" fillId="0" borderId="1" xfId="0" applyNumberFormat="1" applyFont="1" applyFill="1" applyBorder="1" applyAlignment="1">
      <alignment horizontal="center" vertical="center"/>
    </xf>
    <xf numFmtId="188" fontId="1" fillId="0" borderId="2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vertical="center"/>
    </xf>
    <xf numFmtId="0" fontId="1" fillId="2" borderId="16" xfId="0" applyNumberFormat="1" applyFont="1" applyFill="1" applyBorder="1" applyAlignment="1">
      <alignment horizontal="center" vertical="center"/>
    </xf>
    <xf numFmtId="0" fontId="1" fillId="2" borderId="17" xfId="0" applyNumberFormat="1" applyFont="1" applyFill="1" applyBorder="1" applyAlignment="1">
      <alignment horizontal="center" vertical="center"/>
    </xf>
    <xf numFmtId="0" fontId="1" fillId="2" borderId="18" xfId="0" applyNumberFormat="1" applyFont="1" applyFill="1" applyBorder="1" applyAlignment="1">
      <alignment horizontal="center" vertical="center"/>
    </xf>
    <xf numFmtId="0" fontId="1" fillId="2" borderId="19" xfId="0" applyNumberFormat="1" applyFont="1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1" fillId="2" borderId="21" xfId="0" applyNumberFormat="1" applyFont="1" applyFill="1" applyBorder="1" applyAlignment="1">
      <alignment horizontal="center" vertical="center"/>
    </xf>
    <xf numFmtId="0" fontId="1" fillId="2" borderId="22" xfId="0" applyNumberFormat="1" applyFont="1" applyFill="1" applyBorder="1" applyAlignment="1">
      <alignment horizontal="center" vertical="center"/>
    </xf>
    <xf numFmtId="0" fontId="1" fillId="2" borderId="15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11" xfId="0" applyNumberFormat="1" applyFont="1" applyFill="1" applyBorder="1" applyAlignment="1">
      <alignment horizontal="center" vertical="center"/>
    </xf>
    <xf numFmtId="0" fontId="1" fillId="2" borderId="23" xfId="0" applyNumberFormat="1" applyFont="1" applyFill="1" applyBorder="1" applyAlignment="1">
      <alignment horizontal="center" vertical="center"/>
    </xf>
    <xf numFmtId="0" fontId="0" fillId="2" borderId="18" xfId="0" applyFill="1" applyBorder="1">
      <alignment vertical="center"/>
    </xf>
    <xf numFmtId="0" fontId="3" fillId="2" borderId="0" xfId="0" applyNumberFormat="1" applyFont="1" applyFill="1" applyBorder="1" applyAlignment="1">
      <alignment horizontal="center" vertical="center"/>
    </xf>
    <xf numFmtId="0" fontId="1" fillId="2" borderId="12" xfId="0" applyNumberFormat="1" applyFont="1" applyFill="1" applyBorder="1" applyAlignment="1">
      <alignment horizontal="center" vertical="center"/>
    </xf>
    <xf numFmtId="0" fontId="0" fillId="2" borderId="13" xfId="0" applyFill="1" applyBorder="1">
      <alignment vertical="center"/>
    </xf>
    <xf numFmtId="0" fontId="0" fillId="2" borderId="3" xfId="0" applyNumberFormat="1" applyFill="1" applyBorder="1" applyAlignment="1">
      <alignment horizontal="center" vertical="center"/>
    </xf>
    <xf numFmtId="0" fontId="0" fillId="2" borderId="10" xfId="0" applyNumberForma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0" fillId="2" borderId="2" xfId="0" applyNumberFormat="1" applyFill="1" applyBorder="1" applyAlignment="1">
      <alignment horizontal="center" vertical="center"/>
    </xf>
    <xf numFmtId="0" fontId="1" fillId="2" borderId="14" xfId="0" applyNumberFormat="1" applyFont="1" applyFill="1" applyBorder="1" applyAlignment="1">
      <alignment horizontal="center" vertical="center"/>
    </xf>
    <xf numFmtId="0" fontId="0" fillId="2" borderId="15" xfId="0" applyFill="1" applyBorder="1">
      <alignment vertical="center"/>
    </xf>
    <xf numFmtId="0" fontId="1" fillId="2" borderId="8" xfId="0" applyNumberFormat="1" applyFont="1" applyFill="1" applyBorder="1" applyAlignment="1">
      <alignment vertical="center"/>
    </xf>
    <xf numFmtId="0" fontId="1" fillId="2" borderId="3" xfId="0" applyNumberFormat="1" applyFont="1" applyFill="1" applyBorder="1" applyAlignment="1">
      <alignment vertical="center"/>
    </xf>
    <xf numFmtId="0" fontId="1" fillId="0" borderId="3" xfId="0" applyNumberFormat="1" applyFont="1" applyFill="1" applyBorder="1" applyAlignment="1">
      <alignment horizontal="center" vertical="center"/>
    </xf>
    <xf numFmtId="0" fontId="1" fillId="0" borderId="10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vertical="center"/>
    </xf>
    <xf numFmtId="0" fontId="8" fillId="0" borderId="1" xfId="0" applyNumberFormat="1" applyFont="1" applyFill="1" applyBorder="1" applyAlignment="1">
      <alignment horizontal="center" vertical="center"/>
    </xf>
    <xf numFmtId="184" fontId="8" fillId="0" borderId="1" xfId="0" applyNumberFormat="1" applyFont="1" applyFill="1" applyBorder="1" applyAlignment="1">
      <alignment horizontal="center" vertical="center"/>
    </xf>
    <xf numFmtId="186" fontId="8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vertical="center" wrapText="1"/>
    </xf>
    <xf numFmtId="0" fontId="0" fillId="0" borderId="0" xfId="0" applyNumberFormat="1" applyFill="1" applyBorder="1" applyAlignment="1">
      <alignment vertical="center"/>
    </xf>
    <xf numFmtId="0" fontId="9" fillId="0" borderId="0" xfId="0" applyNumberFormat="1" applyFont="1" applyFill="1" applyBorder="1" applyAlignment="1">
      <alignment horizontal="center" vertical="center"/>
    </xf>
    <xf numFmtId="0" fontId="4" fillId="0" borderId="0" xfId="1" applyFont="1" applyAlignment="1" applyProtection="1">
      <alignment horizontal="center" vertical="center"/>
    </xf>
    <xf numFmtId="0" fontId="4" fillId="0" borderId="0" xfId="1" applyAlignment="1" applyProtection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/>
    </xf>
    <xf numFmtId="0" fontId="10" fillId="0" borderId="1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8" fillId="0" borderId="5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8" fillId="0" borderId="9" xfId="0" applyNumberFormat="1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vertical="center"/>
    </xf>
    <xf numFmtId="0" fontId="6" fillId="0" borderId="5" xfId="0" applyNumberFormat="1" applyFont="1" applyFill="1" applyBorder="1" applyAlignment="1">
      <alignment horizontal="center" vertical="center" wrapText="1"/>
    </xf>
    <xf numFmtId="185" fontId="10" fillId="0" borderId="1" xfId="0" applyNumberFormat="1" applyFont="1" applyFill="1" applyBorder="1" applyAlignment="1">
      <alignment horizontal="center" vertical="center"/>
    </xf>
    <xf numFmtId="185" fontId="10" fillId="0" borderId="2" xfId="0" applyNumberFormat="1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0" fillId="0" borderId="10" xfId="0" applyNumberFormat="1" applyFont="1" applyFill="1" applyBorder="1" applyAlignment="1">
      <alignment horizontal="center" vertical="center"/>
    </xf>
    <xf numFmtId="0" fontId="8" fillId="0" borderId="8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lq52.com/" TargetMode="External"/><Relationship Id="rId2" Type="http://schemas.openxmlformats.org/officeDocument/2006/relationships/hyperlink" Target="http://wpa.qq.com/msgrd?V=1&amp;Uin=8151190&amp;Site=&#21387;&#23454;&#24230;060410&amp;Menu=yes" TargetMode="External"/><Relationship Id="rId1" Type="http://schemas.openxmlformats.org/officeDocument/2006/relationships/printerSettings" Target="../printerSettings/printerSettings5.bin"/><Relationship Id="rId5" Type="http://schemas.openxmlformats.org/officeDocument/2006/relationships/printerSettings" Target="../printerSettings/printerSettings6.bin"/><Relationship Id="rId4" Type="http://schemas.openxmlformats.org/officeDocument/2006/relationships/hyperlink" Target="http://wpa.qq.com/msgrd?V=1&amp;Uin=8151190&amp;Site=&#21387;&#23454;&#24230;0606&amp;Menu=y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4"/>
  <dimension ref="A1:L75"/>
  <sheetViews>
    <sheetView topLeftCell="A4" zoomScaleNormal="100" workbookViewId="0">
      <selection activeCell="C15" sqref="C15"/>
    </sheetView>
  </sheetViews>
  <sheetFormatPr defaultRowHeight="14.25"/>
  <cols>
    <col min="1" max="1" width="3.75" style="1" customWidth="1"/>
    <col min="2" max="2" width="19.5" style="1" customWidth="1"/>
    <col min="3" max="3" width="11" style="1" customWidth="1"/>
    <col min="4" max="11" width="5.625" style="1" customWidth="1"/>
    <col min="12" max="16384" width="9" style="1"/>
  </cols>
  <sheetData>
    <row r="1" spans="1:12" ht="25.5">
      <c r="A1" s="99" t="s">
        <v>0</v>
      </c>
      <c r="B1" s="99"/>
      <c r="C1" s="99"/>
      <c r="D1" s="99"/>
      <c r="E1" s="99"/>
      <c r="F1" s="99"/>
      <c r="G1" s="99"/>
      <c r="H1" s="99"/>
      <c r="I1" s="99"/>
      <c r="J1" s="99"/>
      <c r="K1" s="99"/>
    </row>
    <row r="2" spans="1:12" ht="25.5">
      <c r="A2" s="99" t="s">
        <v>1</v>
      </c>
      <c r="B2" s="99"/>
      <c r="C2" s="99"/>
      <c r="D2" s="99"/>
      <c r="E2" s="99"/>
      <c r="F2" s="99"/>
      <c r="G2" s="99"/>
      <c r="H2" s="99"/>
      <c r="I2" s="99"/>
      <c r="J2" s="99"/>
      <c r="K2" s="99"/>
    </row>
    <row r="3" spans="1:12" ht="25.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2">
      <c r="A4" s="85" t="s">
        <v>33</v>
      </c>
      <c r="B4" s="85"/>
      <c r="C4" s="85"/>
      <c r="D4" s="85"/>
      <c r="E4" s="85"/>
      <c r="F4" s="16"/>
      <c r="G4" s="16"/>
      <c r="H4" s="85" t="s">
        <v>2</v>
      </c>
      <c r="I4" s="85"/>
      <c r="J4" s="14" t="s">
        <v>3</v>
      </c>
      <c r="K4" s="16"/>
    </row>
    <row r="5" spans="1:12">
      <c r="A5" s="12"/>
      <c r="B5" s="12"/>
      <c r="C5" s="12"/>
      <c r="D5" s="12"/>
      <c r="E5" s="12"/>
      <c r="F5" s="16"/>
      <c r="G5" s="16"/>
      <c r="H5" s="12"/>
      <c r="I5" s="12"/>
      <c r="J5" s="14"/>
      <c r="K5" s="16"/>
    </row>
    <row r="6" spans="1:12">
      <c r="A6" s="85" t="s">
        <v>34</v>
      </c>
      <c r="B6" s="85"/>
      <c r="C6" s="85"/>
      <c r="D6" s="85"/>
      <c r="E6" s="85"/>
      <c r="F6" s="16"/>
      <c r="G6" s="12"/>
      <c r="H6" s="85" t="s">
        <v>13</v>
      </c>
      <c r="I6" s="85"/>
      <c r="J6" s="16"/>
      <c r="K6" s="16"/>
    </row>
    <row r="7" spans="1:12" ht="15" thickBot="1">
      <c r="A7" s="12"/>
      <c r="B7" s="12"/>
      <c r="C7" s="12"/>
      <c r="D7" s="12"/>
      <c r="E7" s="12"/>
      <c r="F7" s="16"/>
      <c r="G7" s="12"/>
      <c r="H7" s="12"/>
      <c r="I7" s="12"/>
      <c r="J7" s="16"/>
      <c r="K7" s="16"/>
    </row>
    <row r="8" spans="1:12" ht="18" customHeight="1">
      <c r="A8" s="100" t="s">
        <v>28</v>
      </c>
      <c r="B8" s="101"/>
      <c r="C8" s="89" t="e">
        <f>#REF!</f>
        <v>#REF!</v>
      </c>
      <c r="D8" s="90"/>
      <c r="E8" s="91"/>
      <c r="F8" s="95" t="s">
        <v>30</v>
      </c>
      <c r="G8" s="95"/>
      <c r="H8" s="95"/>
      <c r="I8" s="102"/>
      <c r="J8" s="102"/>
      <c r="K8" s="103"/>
    </row>
    <row r="9" spans="1:12" ht="18" customHeight="1">
      <c r="A9" s="106" t="s">
        <v>4</v>
      </c>
      <c r="B9" s="107"/>
      <c r="C9" s="92"/>
      <c r="D9" s="93"/>
      <c r="E9" s="94"/>
      <c r="F9" s="61" t="s">
        <v>31</v>
      </c>
      <c r="G9" s="61"/>
      <c r="H9" s="61"/>
      <c r="I9" s="104"/>
      <c r="J9" s="104"/>
      <c r="K9" s="105"/>
    </row>
    <row r="10" spans="1:12" ht="18" customHeight="1" thickBot="1">
      <c r="A10" s="97" t="s">
        <v>29</v>
      </c>
      <c r="B10" s="98"/>
      <c r="C10" s="86" t="e">
        <f>#REF!</f>
        <v>#REF!</v>
      </c>
      <c r="D10" s="87"/>
      <c r="E10" s="88"/>
      <c r="F10" s="84" t="s">
        <v>32</v>
      </c>
      <c r="G10" s="84"/>
      <c r="H10" s="84"/>
      <c r="I10" s="84" t="e">
        <f>#REF!</f>
        <v>#REF!</v>
      </c>
      <c r="J10" s="84"/>
      <c r="K10" s="96"/>
    </row>
    <row r="11" spans="1:12" ht="18" customHeight="1" thickBot="1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</row>
    <row r="12" spans="1:12" ht="18" customHeight="1">
      <c r="A12" s="108" t="s">
        <v>5</v>
      </c>
      <c r="B12" s="109"/>
      <c r="C12" s="6">
        <v>1</v>
      </c>
      <c r="D12" s="110" t="e">
        <f>辅助!#REF!</f>
        <v>#REF!</v>
      </c>
      <c r="E12" s="110"/>
      <c r="F12" s="110" t="e">
        <f>辅助!#REF!</f>
        <v>#REF!</v>
      </c>
      <c r="G12" s="110"/>
      <c r="H12" s="110" t="e">
        <f>辅助!#REF!</f>
        <v>#REF!</v>
      </c>
      <c r="I12" s="110"/>
      <c r="J12" s="110" t="e">
        <f>辅助!#REF!</f>
        <v>#REF!</v>
      </c>
      <c r="K12" s="111"/>
    </row>
    <row r="13" spans="1:12" ht="18" customHeight="1">
      <c r="A13" s="69" t="s">
        <v>17</v>
      </c>
      <c r="B13" s="70"/>
      <c r="C13" s="5">
        <v>2</v>
      </c>
      <c r="D13" s="61"/>
      <c r="E13" s="61"/>
      <c r="F13" s="61"/>
      <c r="G13" s="61"/>
      <c r="H13" s="61"/>
      <c r="I13" s="61"/>
      <c r="J13" s="61"/>
      <c r="K13" s="62"/>
    </row>
    <row r="14" spans="1:12" customFormat="1" ht="18" customHeight="1">
      <c r="A14" s="69" t="s">
        <v>18</v>
      </c>
      <c r="B14" s="70"/>
      <c r="C14" s="5">
        <v>3</v>
      </c>
      <c r="D14" s="61"/>
      <c r="E14" s="61"/>
      <c r="F14" s="61"/>
      <c r="G14" s="61"/>
      <c r="H14" s="61"/>
      <c r="I14" s="61"/>
      <c r="J14" s="61"/>
      <c r="K14" s="62"/>
      <c r="L14" s="1"/>
    </row>
    <row r="15" spans="1:12" ht="18" customHeight="1">
      <c r="A15" s="69" t="s">
        <v>37</v>
      </c>
      <c r="B15" s="70"/>
      <c r="C15" s="5">
        <v>4</v>
      </c>
      <c r="D15" s="82" t="e">
        <f ca="1">辅助!K8&amp;"/"&amp;ROUND(辅助!#REF!,0)</f>
        <v>#REF!</v>
      </c>
      <c r="E15" s="82"/>
      <c r="F15" s="82" t="e">
        <f ca="1">辅助!K8&amp;"/"&amp;ROUND(辅助!#REF!,0)</f>
        <v>#REF!</v>
      </c>
      <c r="G15" s="82"/>
      <c r="H15" s="82" t="e">
        <f ca="1">辅助!K8&amp;"/"&amp;ROUND(辅助!#REF!,0)</f>
        <v>#REF!</v>
      </c>
      <c r="I15" s="82"/>
      <c r="J15" s="82" t="e">
        <f ca="1">辅助!K8&amp;"/"&amp;ROUND(辅助!#REF!,0)</f>
        <v>#REF!</v>
      </c>
      <c r="K15" s="83"/>
      <c r="L15"/>
    </row>
    <row r="16" spans="1:12" ht="18" customHeight="1">
      <c r="A16" s="69" t="s">
        <v>19</v>
      </c>
      <c r="B16" s="70"/>
      <c r="C16" s="5">
        <v>5</v>
      </c>
      <c r="D16" s="61">
        <f>辅助!C12</f>
        <v>20000</v>
      </c>
      <c r="E16" s="61"/>
      <c r="F16" s="61">
        <f>辅助!E12</f>
        <v>20000</v>
      </c>
      <c r="G16" s="61"/>
      <c r="H16" s="61">
        <f>辅助!G12</f>
        <v>20000</v>
      </c>
      <c r="I16" s="61"/>
      <c r="J16" s="61">
        <f>辅助!K12</f>
        <v>20000</v>
      </c>
      <c r="K16" s="62"/>
    </row>
    <row r="17" spans="1:11" ht="18" customHeight="1">
      <c r="A17" s="69" t="s">
        <v>20</v>
      </c>
      <c r="B17" s="70"/>
      <c r="C17" s="5">
        <v>6</v>
      </c>
      <c r="D17" s="76">
        <f ca="1">辅助!C13</f>
        <v>3849</v>
      </c>
      <c r="E17" s="76"/>
      <c r="F17" s="76">
        <f ca="1">辅助!E13</f>
        <v>4468</v>
      </c>
      <c r="G17" s="76"/>
      <c r="H17" s="76">
        <f ca="1">辅助!G13</f>
        <v>4366</v>
      </c>
      <c r="I17" s="76"/>
      <c r="J17" s="76">
        <f ca="1">辅助!K13</f>
        <v>4342</v>
      </c>
      <c r="K17" s="77"/>
    </row>
    <row r="18" spans="1:11" ht="18" customHeight="1">
      <c r="A18" s="69" t="s">
        <v>21</v>
      </c>
      <c r="B18" s="70"/>
      <c r="C18" s="5">
        <v>7</v>
      </c>
      <c r="D18" s="61">
        <f ca="1">辅助!C14</f>
        <v>16151</v>
      </c>
      <c r="E18" s="61"/>
      <c r="F18" s="61">
        <f ca="1">辅助!E14</f>
        <v>15532</v>
      </c>
      <c r="G18" s="61"/>
      <c r="H18" s="61">
        <f ca="1">辅助!G14</f>
        <v>15634</v>
      </c>
      <c r="I18" s="61"/>
      <c r="J18" s="61">
        <f ca="1">辅助!K14</f>
        <v>15658</v>
      </c>
      <c r="K18" s="62"/>
    </row>
    <row r="19" spans="1:11" ht="18" customHeight="1">
      <c r="A19" s="69" t="s">
        <v>22</v>
      </c>
      <c r="B19" s="70"/>
      <c r="C19" s="5">
        <v>8</v>
      </c>
      <c r="D19" s="78">
        <f ca="1">辅助!C15</f>
        <v>28047.055944055945</v>
      </c>
      <c r="E19" s="78"/>
      <c r="F19" s="78">
        <f ca="1">辅助!E15</f>
        <v>26992.783216783217</v>
      </c>
      <c r="G19" s="78"/>
      <c r="H19" s="78">
        <f ca="1">辅助!G15</f>
        <v>27485.597202797202</v>
      </c>
      <c r="I19" s="78"/>
      <c r="J19" s="78">
        <f ca="1">辅助!K15</f>
        <v>27376.648951048952</v>
      </c>
      <c r="K19" s="79"/>
    </row>
    <row r="20" spans="1:11" ht="18" customHeight="1">
      <c r="A20" s="69" t="s">
        <v>24</v>
      </c>
      <c r="B20" s="70"/>
      <c r="C20" s="5">
        <v>9</v>
      </c>
      <c r="D20" s="80">
        <f ca="1">ROUND((D16-D17-D18)/D19,2)</f>
        <v>0</v>
      </c>
      <c r="E20" s="80"/>
      <c r="F20" s="80">
        <f ca="1">ROUND((F16-F17-F18)/F19,2)</f>
        <v>0</v>
      </c>
      <c r="G20" s="80"/>
      <c r="H20" s="80">
        <f ca="1">ROUND((H16-H17-H18)/H19,2)</f>
        <v>0</v>
      </c>
      <c r="I20" s="80"/>
      <c r="J20" s="80">
        <f ca="1">ROUND((J16-J17-J18)/J19,2)</f>
        <v>0</v>
      </c>
      <c r="K20" s="81"/>
    </row>
    <row r="21" spans="1:11" ht="18" customHeight="1">
      <c r="A21" s="69" t="s">
        <v>23</v>
      </c>
      <c r="B21" s="70"/>
      <c r="C21" s="5">
        <v>10</v>
      </c>
      <c r="D21" s="76">
        <f ca="1">辅助!C17</f>
        <v>11174.125874125875</v>
      </c>
      <c r="E21" s="76"/>
      <c r="F21" s="76">
        <f ca="1">辅助!E17</f>
        <v>10741.258741258742</v>
      </c>
      <c r="G21" s="76"/>
      <c r="H21" s="76">
        <f ca="1">辅助!G17</f>
        <v>10812.587412587412</v>
      </c>
      <c r="I21" s="76"/>
      <c r="J21" s="76">
        <f ca="1">辅助!K17</f>
        <v>10829.370629370629</v>
      </c>
      <c r="K21" s="77"/>
    </row>
    <row r="22" spans="1:11" ht="18" customHeight="1">
      <c r="A22" s="69" t="s">
        <v>25</v>
      </c>
      <c r="B22" s="70"/>
      <c r="C22" s="5">
        <v>11</v>
      </c>
      <c r="D22" s="73" t="e">
        <f ca="1">ROUND(D21/D20,3)</f>
        <v>#DIV/0!</v>
      </c>
      <c r="E22" s="73"/>
      <c r="F22" s="73" t="e">
        <f ca="1">ROUND(F21/F20,3)</f>
        <v>#DIV/0!</v>
      </c>
      <c r="G22" s="73"/>
      <c r="H22" s="73" t="e">
        <f ca="1">ROUND(H21/H20,3)</f>
        <v>#DIV/0!</v>
      </c>
      <c r="I22" s="73"/>
      <c r="J22" s="73" t="e">
        <f ca="1">ROUND(J21/J20,3)</f>
        <v>#DIV/0!</v>
      </c>
      <c r="K22" s="74"/>
    </row>
    <row r="23" spans="1:11" ht="18" customHeight="1">
      <c r="A23" s="75" t="s">
        <v>8</v>
      </c>
      <c r="B23" s="4" t="s">
        <v>9</v>
      </c>
      <c r="C23" s="5">
        <v>12</v>
      </c>
      <c r="D23" s="10">
        <v>1</v>
      </c>
      <c r="E23" s="10">
        <v>2</v>
      </c>
      <c r="F23" s="10">
        <v>3</v>
      </c>
      <c r="G23" s="10">
        <v>4</v>
      </c>
      <c r="H23" s="10">
        <v>5</v>
      </c>
      <c r="I23" s="10">
        <v>6</v>
      </c>
      <c r="J23" s="10">
        <v>7</v>
      </c>
      <c r="K23" s="11">
        <v>8</v>
      </c>
    </row>
    <row r="24" spans="1:11" ht="18" customHeight="1">
      <c r="A24" s="75"/>
      <c r="B24" s="4" t="s">
        <v>38</v>
      </c>
      <c r="C24" s="5">
        <v>13</v>
      </c>
      <c r="D24" s="2" t="e">
        <f>辅助!#REF!</f>
        <v>#REF!</v>
      </c>
      <c r="E24" s="2" t="e">
        <f>辅助!#REF!</f>
        <v>#REF!</v>
      </c>
      <c r="F24" s="2" t="e">
        <f>辅助!#REF!</f>
        <v>#REF!</v>
      </c>
      <c r="G24" s="2" t="e">
        <f>辅助!#REF!</f>
        <v>#REF!</v>
      </c>
      <c r="H24" s="2" t="e">
        <f>辅助!#REF!</f>
        <v>#REF!</v>
      </c>
      <c r="I24" s="2" t="e">
        <f>辅助!#REF!</f>
        <v>#REF!</v>
      </c>
      <c r="J24" s="2" t="e">
        <f>辅助!#REF!</f>
        <v>#REF!</v>
      </c>
      <c r="K24" s="3" t="e">
        <f>辅助!#REF!</f>
        <v>#REF!</v>
      </c>
    </row>
    <row r="25" spans="1:11" ht="18" customHeight="1">
      <c r="A25" s="75"/>
      <c r="B25" s="4" t="s">
        <v>36</v>
      </c>
      <c r="C25" s="5">
        <v>14</v>
      </c>
      <c r="D25" s="2">
        <f ca="1">辅助!C21</f>
        <v>655.39055533629335</v>
      </c>
      <c r="E25" s="2">
        <f ca="1">辅助!D21</f>
        <v>697.63461245303574</v>
      </c>
      <c r="F25" s="2">
        <f ca="1">辅助!E21</f>
        <v>684.85432316594927</v>
      </c>
      <c r="G25" s="2">
        <f ca="1">辅助!F21</f>
        <v>613.01056082460434</v>
      </c>
      <c r="H25" s="2">
        <f ca="1">辅助!G21</f>
        <v>678.46839325155918</v>
      </c>
      <c r="I25" s="2">
        <f ca="1">辅助!H21</f>
        <v>609.47989514910932</v>
      </c>
      <c r="J25" s="2">
        <f ca="1">辅助!K21</f>
        <v>583.01249764026704</v>
      </c>
      <c r="K25" s="3">
        <f ca="1">辅助!L21</f>
        <v>585.33320277530538</v>
      </c>
    </row>
    <row r="26" spans="1:11" ht="18" customHeight="1">
      <c r="A26" s="75"/>
      <c r="B26" s="4" t="s">
        <v>39</v>
      </c>
      <c r="C26" s="5">
        <v>15</v>
      </c>
      <c r="D26" s="2">
        <f ca="1">辅助!C22</f>
        <v>601.81893443393722</v>
      </c>
      <c r="E26" s="2">
        <f ca="1">辅助!D22</f>
        <v>640.50194466431265</v>
      </c>
      <c r="F26" s="2">
        <f ca="1">辅助!E22</f>
        <v>635.94585478328634</v>
      </c>
      <c r="G26" s="2">
        <f ca="1">辅助!F22</f>
        <v>568.89189080221888</v>
      </c>
      <c r="H26" s="2">
        <f ca="1">辅助!G22</f>
        <v>625.05299655790554</v>
      </c>
      <c r="I26" s="2">
        <f ca="1">辅助!H22</f>
        <v>562.05612984407219</v>
      </c>
      <c r="J26" s="2">
        <f ca="1">辅助!K22</f>
        <v>540.12667372139151</v>
      </c>
      <c r="K26" s="3">
        <f ca="1">辅助!L22</f>
        <v>542.37964248654191</v>
      </c>
    </row>
    <row r="27" spans="1:11" ht="18" customHeight="1">
      <c r="A27" s="75"/>
      <c r="B27" s="4" t="s">
        <v>40</v>
      </c>
      <c r="C27" s="5">
        <v>16</v>
      </c>
      <c r="D27" s="19">
        <f ca="1">辅助!C23</f>
        <v>53.571620902356173</v>
      </c>
      <c r="E27" s="19">
        <f ca="1">辅助!D23</f>
        <v>57.13266778872309</v>
      </c>
      <c r="F27" s="19">
        <f ca="1">辅助!E23</f>
        <v>48.908468382662903</v>
      </c>
      <c r="G27" s="19">
        <f ca="1">辅助!F23</f>
        <v>44.118670022385416</v>
      </c>
      <c r="H27" s="19">
        <f ca="1">辅助!G23</f>
        <v>53.415396693653591</v>
      </c>
      <c r="I27" s="19">
        <f ca="1">辅助!H23</f>
        <v>47.423765305037129</v>
      </c>
      <c r="J27" s="19">
        <f ca="1">辅助!K23</f>
        <v>42.885823918875502</v>
      </c>
      <c r="K27" s="20">
        <f ca="1">辅助!L23</f>
        <v>42.953560288763519</v>
      </c>
    </row>
    <row r="28" spans="1:11" ht="18" customHeight="1">
      <c r="A28" s="75"/>
      <c r="B28" s="4" t="s">
        <v>35</v>
      </c>
      <c r="C28" s="5">
        <v>17</v>
      </c>
      <c r="D28" s="2">
        <f t="shared" ref="D28:K28" ca="1" si="0">D25-D26</f>
        <v>53.571620902356131</v>
      </c>
      <c r="E28" s="2">
        <f t="shared" ca="1" si="0"/>
        <v>57.132667788723097</v>
      </c>
      <c r="F28" s="2">
        <f t="shared" ca="1" si="0"/>
        <v>48.908468382662932</v>
      </c>
      <c r="G28" s="2">
        <f t="shared" ca="1" si="0"/>
        <v>44.118670022385459</v>
      </c>
      <c r="H28" s="2">
        <f t="shared" ca="1" si="0"/>
        <v>53.415396693653634</v>
      </c>
      <c r="I28" s="2">
        <f t="shared" ca="1" si="0"/>
        <v>47.423765305037136</v>
      </c>
      <c r="J28" s="2">
        <f t="shared" ca="1" si="0"/>
        <v>42.885823918875531</v>
      </c>
      <c r="K28" s="3">
        <f t="shared" ca="1" si="0"/>
        <v>42.95356028876347</v>
      </c>
    </row>
    <row r="29" spans="1:11" ht="18" customHeight="1">
      <c r="A29" s="75"/>
      <c r="B29" s="4" t="s">
        <v>6</v>
      </c>
      <c r="C29" s="5">
        <v>18</v>
      </c>
      <c r="D29" s="8">
        <f t="shared" ref="D29:K29" ca="1" si="1">ROUND(D28*100/D27,1)</f>
        <v>100</v>
      </c>
      <c r="E29" s="8">
        <f t="shared" ca="1" si="1"/>
        <v>100</v>
      </c>
      <c r="F29" s="8">
        <f t="shared" ca="1" si="1"/>
        <v>100</v>
      </c>
      <c r="G29" s="8">
        <f t="shared" ca="1" si="1"/>
        <v>100</v>
      </c>
      <c r="H29" s="8">
        <f t="shared" ca="1" si="1"/>
        <v>100</v>
      </c>
      <c r="I29" s="8">
        <f t="shared" ca="1" si="1"/>
        <v>100</v>
      </c>
      <c r="J29" s="8">
        <f t="shared" ca="1" si="1"/>
        <v>100</v>
      </c>
      <c r="K29" s="9">
        <f t="shared" ca="1" si="1"/>
        <v>100</v>
      </c>
    </row>
    <row r="30" spans="1:11" ht="18" customHeight="1">
      <c r="A30" s="75"/>
      <c r="B30" s="4" t="s">
        <v>10</v>
      </c>
      <c r="C30" s="5">
        <v>19</v>
      </c>
      <c r="D30" s="71">
        <f ca="1">ROUND((D29+E29)/2,1)</f>
        <v>100</v>
      </c>
      <c r="E30" s="71"/>
      <c r="F30" s="71">
        <f ca="1">ROUND((F29+G29)/2,1)</f>
        <v>100</v>
      </c>
      <c r="G30" s="71"/>
      <c r="H30" s="71">
        <f ca="1">ROUND((H29+I29)/2,1)</f>
        <v>100</v>
      </c>
      <c r="I30" s="71"/>
      <c r="J30" s="71">
        <f ca="1">ROUND((J29+K29)/2,1)</f>
        <v>100</v>
      </c>
      <c r="K30" s="72"/>
    </row>
    <row r="31" spans="1:11" ht="18" customHeight="1">
      <c r="A31" s="69" t="s">
        <v>26</v>
      </c>
      <c r="B31" s="70"/>
      <c r="C31" s="5">
        <v>20</v>
      </c>
      <c r="D31" s="73" t="e">
        <f ca="1">ROUND(D22/(1+D30/100),3)</f>
        <v>#DIV/0!</v>
      </c>
      <c r="E31" s="73"/>
      <c r="F31" s="73" t="e">
        <f ca="1">ROUND(F22/(1+F30/100),3)</f>
        <v>#DIV/0!</v>
      </c>
      <c r="G31" s="73"/>
      <c r="H31" s="73" t="e">
        <f ca="1">ROUND(H22/(1+H30/100),3)</f>
        <v>#DIV/0!</v>
      </c>
      <c r="I31" s="73"/>
      <c r="J31" s="73" t="e">
        <f ca="1">ROUND(J22/(1+J30/100),3)</f>
        <v>#DIV/0!</v>
      </c>
      <c r="K31" s="74"/>
    </row>
    <row r="32" spans="1:11" ht="18" customHeight="1">
      <c r="A32" s="69" t="s">
        <v>27</v>
      </c>
      <c r="B32" s="70"/>
      <c r="C32" s="5">
        <v>21</v>
      </c>
      <c r="D32" s="67">
        <f>辅助!C28</f>
        <v>2.36</v>
      </c>
      <c r="E32" s="67"/>
      <c r="F32" s="67">
        <f>辅助!E28</f>
        <v>2.36</v>
      </c>
      <c r="G32" s="67"/>
      <c r="H32" s="67">
        <f>辅助!G28</f>
        <v>2.36</v>
      </c>
      <c r="I32" s="67"/>
      <c r="J32" s="67">
        <f>辅助!K28</f>
        <v>2.36</v>
      </c>
      <c r="K32" s="68"/>
    </row>
    <row r="33" spans="1:11" ht="18" customHeight="1">
      <c r="A33" s="69" t="s">
        <v>11</v>
      </c>
      <c r="B33" s="70"/>
      <c r="C33" s="5">
        <v>22</v>
      </c>
      <c r="D33" s="71" t="e">
        <f ca="1">ROUND(D31*100/D32,1)</f>
        <v>#DIV/0!</v>
      </c>
      <c r="E33" s="71"/>
      <c r="F33" s="71" t="e">
        <f ca="1">ROUND(F31*100/F32,1)</f>
        <v>#DIV/0!</v>
      </c>
      <c r="G33" s="71"/>
      <c r="H33" s="71" t="e">
        <f ca="1">ROUND(H31*100/H32,1)</f>
        <v>#DIV/0!</v>
      </c>
      <c r="I33" s="71"/>
      <c r="J33" s="71" t="e">
        <f ca="1">ROUND(J31*100/J32,1)</f>
        <v>#DIV/0!</v>
      </c>
      <c r="K33" s="72"/>
    </row>
    <row r="34" spans="1:11" ht="18" customHeight="1">
      <c r="A34" s="69" t="s">
        <v>7</v>
      </c>
      <c r="B34" s="70"/>
      <c r="C34" s="5">
        <v>23</v>
      </c>
      <c r="D34" s="61">
        <f>辅助!C30</f>
        <v>0</v>
      </c>
      <c r="E34" s="61"/>
      <c r="F34" s="61">
        <f>辅助!E30</f>
        <v>0</v>
      </c>
      <c r="G34" s="61"/>
      <c r="H34" s="61">
        <f>辅助!G30</f>
        <v>0</v>
      </c>
      <c r="I34" s="61"/>
      <c r="J34" s="61">
        <f>辅助!K30</f>
        <v>0</v>
      </c>
      <c r="K34" s="62"/>
    </row>
    <row r="35" spans="1:11" ht="18" customHeight="1" thickBot="1">
      <c r="A35" s="63" t="s">
        <v>12</v>
      </c>
      <c r="B35" s="64"/>
      <c r="C35" s="7"/>
      <c r="D35" s="65"/>
      <c r="E35" s="65"/>
      <c r="F35" s="65"/>
      <c r="G35" s="65"/>
      <c r="H35" s="65"/>
      <c r="I35" s="65"/>
      <c r="J35" s="65"/>
      <c r="K35" s="66"/>
    </row>
    <row r="36" spans="1:11" ht="18" customHeight="1">
      <c r="A36" s="12"/>
      <c r="B36" s="12"/>
      <c r="C36" s="14"/>
      <c r="D36" s="13"/>
      <c r="E36" s="13"/>
      <c r="F36" s="13"/>
      <c r="G36" s="13"/>
      <c r="H36" s="13"/>
      <c r="I36" s="13"/>
      <c r="J36" s="13"/>
      <c r="K36" s="13"/>
    </row>
    <row r="37" spans="1:11" ht="18" customHeight="1">
      <c r="A37" s="59" t="s">
        <v>41</v>
      </c>
      <c r="B37" s="59"/>
      <c r="C37" s="18"/>
      <c r="D37" s="60" t="s">
        <v>15</v>
      </c>
      <c r="E37" s="60"/>
      <c r="F37" s="60"/>
      <c r="G37" s="60"/>
      <c r="H37" s="60" t="s">
        <v>16</v>
      </c>
      <c r="I37" s="60"/>
      <c r="J37" s="60"/>
      <c r="K37" s="60"/>
    </row>
    <row r="46" spans="1:11" hidden="1"/>
    <row r="47" spans="1:11" hidden="1"/>
    <row r="48" spans="1:11" hidden="1"/>
    <row r="49" hidden="1"/>
    <row r="50" hidden="1"/>
    <row r="51" hidden="1"/>
    <row r="52" hidden="1"/>
    <row r="53" ht="14.25" hidden="1" customHeight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</sheetData>
  <sheetProtection password="CF5E" sheet="1" objects="1" scenarios="1" selectLockedCells="1" selectUnlockedCells="1"/>
  <customSheetViews>
    <customSheetView guid="{FF1E879A-E9FC-4772-9EB5-FC03EFEBC3D5}" hiddenRows="1" state="hidden" showRuler="0" topLeftCell="A4">
      <selection activeCell="C15" sqref="C15"/>
      <pageMargins left="0.75" right="0.75" top="1" bottom="1" header="0.5" footer="0.5"/>
      <pageSetup paperSize="9" orientation="portrait" horizontalDpi="4294967293" verticalDpi="4294967293" r:id="rId1"/>
      <headerFooter alignWithMargins="0"/>
    </customSheetView>
  </customSheetViews>
  <mergeCells count="106">
    <mergeCell ref="F12:G12"/>
    <mergeCell ref="H12:I12"/>
    <mergeCell ref="J12:K12"/>
    <mergeCell ref="F34:G34"/>
    <mergeCell ref="H30:I30"/>
    <mergeCell ref="J22:K22"/>
    <mergeCell ref="H22:I22"/>
    <mergeCell ref="F22:G22"/>
    <mergeCell ref="H32:I32"/>
    <mergeCell ref="J30:K30"/>
    <mergeCell ref="F31:G31"/>
    <mergeCell ref="H31:I31"/>
    <mergeCell ref="A34:B34"/>
    <mergeCell ref="D34:E34"/>
    <mergeCell ref="A14:B14"/>
    <mergeCell ref="D14:E14"/>
    <mergeCell ref="D22:E22"/>
    <mergeCell ref="D13:E13"/>
    <mergeCell ref="A31:B31"/>
    <mergeCell ref="A22:B22"/>
    <mergeCell ref="A4:E4"/>
    <mergeCell ref="A1:K1"/>
    <mergeCell ref="A2:K2"/>
    <mergeCell ref="F9:H9"/>
    <mergeCell ref="H4:I4"/>
    <mergeCell ref="A8:B8"/>
    <mergeCell ref="I8:K8"/>
    <mergeCell ref="I9:K9"/>
    <mergeCell ref="A9:B9"/>
    <mergeCell ref="H6:I6"/>
    <mergeCell ref="C10:E10"/>
    <mergeCell ref="C8:E8"/>
    <mergeCell ref="C9:E9"/>
    <mergeCell ref="F8:H8"/>
    <mergeCell ref="A6:E6"/>
    <mergeCell ref="I10:K10"/>
    <mergeCell ref="A10:B10"/>
    <mergeCell ref="A16:B16"/>
    <mergeCell ref="D16:E16"/>
    <mergeCell ref="J14:K14"/>
    <mergeCell ref="A15:B15"/>
    <mergeCell ref="D15:E15"/>
    <mergeCell ref="F10:H10"/>
    <mergeCell ref="J13:K13"/>
    <mergeCell ref="A12:B12"/>
    <mergeCell ref="A13:B13"/>
    <mergeCell ref="D12:E12"/>
    <mergeCell ref="F13:G13"/>
    <mergeCell ref="J15:K15"/>
    <mergeCell ref="F14:G14"/>
    <mergeCell ref="F16:G16"/>
    <mergeCell ref="H16:I16"/>
    <mergeCell ref="J16:K16"/>
    <mergeCell ref="F15:G15"/>
    <mergeCell ref="H15:I15"/>
    <mergeCell ref="H14:I14"/>
    <mergeCell ref="H13:I13"/>
    <mergeCell ref="J17:K17"/>
    <mergeCell ref="A18:B18"/>
    <mergeCell ref="D18:E18"/>
    <mergeCell ref="F18:G18"/>
    <mergeCell ref="H18:I18"/>
    <mergeCell ref="J18:K18"/>
    <mergeCell ref="A17:B17"/>
    <mergeCell ref="D17:E17"/>
    <mergeCell ref="F17:G17"/>
    <mergeCell ref="H17:I17"/>
    <mergeCell ref="J19:K19"/>
    <mergeCell ref="A20:B20"/>
    <mergeCell ref="D20:E20"/>
    <mergeCell ref="F20:G20"/>
    <mergeCell ref="H20:I20"/>
    <mergeCell ref="J20:K20"/>
    <mergeCell ref="A19:B19"/>
    <mergeCell ref="D19:E19"/>
    <mergeCell ref="F19:G19"/>
    <mergeCell ref="H19:I19"/>
    <mergeCell ref="J31:K31"/>
    <mergeCell ref="A23:A30"/>
    <mergeCell ref="D30:E30"/>
    <mergeCell ref="F30:G30"/>
    <mergeCell ref="D31:E31"/>
    <mergeCell ref="J21:K21"/>
    <mergeCell ref="A21:B21"/>
    <mergeCell ref="D21:E21"/>
    <mergeCell ref="F21:G21"/>
    <mergeCell ref="H21:I21"/>
    <mergeCell ref="J32:K32"/>
    <mergeCell ref="A33:B33"/>
    <mergeCell ref="D33:E33"/>
    <mergeCell ref="F33:G33"/>
    <mergeCell ref="H33:I33"/>
    <mergeCell ref="J33:K33"/>
    <mergeCell ref="A32:B32"/>
    <mergeCell ref="D32:E32"/>
    <mergeCell ref="F32:G32"/>
    <mergeCell ref="A37:B37"/>
    <mergeCell ref="D37:G37"/>
    <mergeCell ref="H37:K37"/>
    <mergeCell ref="J34:K34"/>
    <mergeCell ref="H34:I34"/>
    <mergeCell ref="A35:B35"/>
    <mergeCell ref="J35:K35"/>
    <mergeCell ref="D35:E35"/>
    <mergeCell ref="F35:G35"/>
    <mergeCell ref="H35:I35"/>
  </mergeCells>
  <phoneticPr fontId="2" type="noConversion"/>
  <pageMargins left="0.75" right="0.75" top="1" bottom="1" header="0.5" footer="0.5"/>
  <pageSetup paperSize="9" orientation="portrait" horizontalDpi="4294967293" verticalDpi="4294967293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L69"/>
  <sheetViews>
    <sheetView topLeftCell="A7" zoomScaleNormal="100" workbookViewId="0">
      <selection activeCell="E29" sqref="E29:F29"/>
    </sheetView>
  </sheetViews>
  <sheetFormatPr defaultRowHeight="14.25"/>
  <cols>
    <col min="1" max="1" width="3.75" style="1" customWidth="1"/>
    <col min="2" max="2" width="19.5" style="1" customWidth="1"/>
    <col min="3" max="3" width="6.875" style="1" customWidth="1"/>
    <col min="4" max="12" width="5.625" style="1" customWidth="1"/>
    <col min="13" max="16384" width="9" style="1"/>
  </cols>
  <sheetData>
    <row r="1" spans="1:12" ht="25.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2" ht="25.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2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</row>
    <row r="4" spans="1:12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2">
      <c r="A5" s="30"/>
      <c r="B5" s="30"/>
      <c r="C5" s="30"/>
      <c r="D5" s="30"/>
      <c r="E5" s="31"/>
      <c r="F5" s="30"/>
      <c r="G5" s="30"/>
      <c r="H5" s="30"/>
      <c r="I5" s="30"/>
      <c r="J5" s="30"/>
      <c r="K5" s="31"/>
      <c r="L5" s="31"/>
    </row>
    <row r="6" spans="1:12" ht="18" customHeight="1">
      <c r="A6" s="21"/>
      <c r="B6" s="21"/>
      <c r="C6" s="30"/>
      <c r="D6" s="30"/>
      <c r="E6" s="30"/>
      <c r="F6" s="30"/>
      <c r="G6" s="30"/>
      <c r="H6" s="30"/>
      <c r="I6" s="30"/>
      <c r="J6" s="30"/>
      <c r="K6" s="30"/>
      <c r="L6" s="30"/>
    </row>
    <row r="7" spans="1:12" ht="18" customHeight="1">
      <c r="A7" s="30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</row>
    <row r="8" spans="1:12" ht="18" customHeight="1">
      <c r="A8" s="30"/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</row>
    <row r="9" spans="1:12" ht="18" customHeight="1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</row>
    <row r="10" spans="1:12" ht="18" customHeight="1">
      <c r="A10" s="30"/>
      <c r="B10" s="30"/>
      <c r="C10" s="34"/>
      <c r="D10" s="34"/>
      <c r="E10" s="34"/>
      <c r="F10" s="34"/>
      <c r="G10" s="34"/>
      <c r="H10" s="34"/>
      <c r="I10" s="34"/>
      <c r="J10" s="34"/>
      <c r="K10" s="34"/>
      <c r="L10" s="34"/>
    </row>
    <row r="11" spans="1:12" ht="18" customHeight="1">
      <c r="A11" s="112" t="s">
        <v>60</v>
      </c>
      <c r="B11" s="112"/>
      <c r="C11" s="113">
        <f>辅助!C12</f>
        <v>20000</v>
      </c>
      <c r="D11" s="113"/>
      <c r="E11" s="113">
        <f>辅助!E12</f>
        <v>20000</v>
      </c>
      <c r="F11" s="113"/>
      <c r="G11" s="113">
        <f>辅助!G12</f>
        <v>20000</v>
      </c>
      <c r="H11" s="113"/>
      <c r="I11" s="113">
        <f>辅助!I12</f>
        <v>20000</v>
      </c>
      <c r="J11" s="113"/>
      <c r="K11" s="113">
        <f>辅助!K12</f>
        <v>20000</v>
      </c>
      <c r="L11" s="113"/>
    </row>
    <row r="12" spans="1:12" ht="18" customHeight="1">
      <c r="A12" s="112" t="s">
        <v>68</v>
      </c>
      <c r="B12" s="112"/>
      <c r="C12" s="113">
        <f ca="1">辅助!C13</f>
        <v>3849</v>
      </c>
      <c r="D12" s="113"/>
      <c r="E12" s="113">
        <f ca="1">辅助!E13</f>
        <v>4468</v>
      </c>
      <c r="F12" s="113"/>
      <c r="G12" s="113">
        <f ca="1">辅助!G13</f>
        <v>4366</v>
      </c>
      <c r="H12" s="113"/>
      <c r="I12" s="113">
        <f ca="1">辅助!I13</f>
        <v>3898</v>
      </c>
      <c r="J12" s="113"/>
      <c r="K12" s="113">
        <f ca="1">辅助!K13</f>
        <v>4342</v>
      </c>
      <c r="L12" s="113"/>
    </row>
    <row r="13" spans="1:12" ht="18" customHeight="1">
      <c r="A13" s="112" t="s">
        <v>61</v>
      </c>
      <c r="B13" s="112"/>
      <c r="C13" s="113">
        <f ca="1">辅助!C14</f>
        <v>16151</v>
      </c>
      <c r="D13" s="113"/>
      <c r="E13" s="113">
        <f ca="1">辅助!E14</f>
        <v>15532</v>
      </c>
      <c r="F13" s="113"/>
      <c r="G13" s="113">
        <f ca="1">辅助!G14</f>
        <v>15634</v>
      </c>
      <c r="H13" s="113"/>
      <c r="I13" s="113">
        <f ca="1">辅助!I14</f>
        <v>16102</v>
      </c>
      <c r="J13" s="113"/>
      <c r="K13" s="113">
        <f ca="1">辅助!K14</f>
        <v>15658</v>
      </c>
      <c r="L13" s="113"/>
    </row>
    <row r="14" spans="1:12" ht="18" customHeight="1">
      <c r="A14" s="112" t="s">
        <v>62</v>
      </c>
      <c r="B14" s="112"/>
      <c r="C14" s="113">
        <f ca="1">ROUND(辅助!C15,0)</f>
        <v>28047</v>
      </c>
      <c r="D14" s="113"/>
      <c r="E14" s="113">
        <f ca="1">ROUND(辅助!E15,0)</f>
        <v>26993</v>
      </c>
      <c r="F14" s="113"/>
      <c r="G14" s="113">
        <f ca="1">ROUND(辅助!G15,0)</f>
        <v>27486</v>
      </c>
      <c r="H14" s="113"/>
      <c r="I14" s="113">
        <f ca="1">ROUND(辅助!I15,0)</f>
        <v>28351</v>
      </c>
      <c r="J14" s="113"/>
      <c r="K14" s="113">
        <f ca="1">ROUND(辅助!K15,0)</f>
        <v>27377</v>
      </c>
      <c r="L14" s="113"/>
    </row>
    <row r="15" spans="1:12" ht="18" customHeight="1">
      <c r="A15" s="112" t="s">
        <v>63</v>
      </c>
      <c r="B15" s="112"/>
      <c r="C15" s="113">
        <f ca="1">ROUND(辅助!C16,0)</f>
        <v>15979</v>
      </c>
      <c r="D15" s="113"/>
      <c r="E15" s="113">
        <f ca="1">ROUND(辅助!E16,0)</f>
        <v>15360</v>
      </c>
      <c r="F15" s="113"/>
      <c r="G15" s="113">
        <f ca="1">ROUND(辅助!G16,0)</f>
        <v>15462</v>
      </c>
      <c r="H15" s="113"/>
      <c r="I15" s="113">
        <f ca="1">ROUND(辅助!I16,0)</f>
        <v>15930</v>
      </c>
      <c r="J15" s="113"/>
      <c r="K15" s="113">
        <f ca="1">ROUND(辅助!K16,0)</f>
        <v>15486</v>
      </c>
      <c r="L15" s="113"/>
    </row>
    <row r="16" spans="1:12" ht="18" customHeight="1">
      <c r="A16" s="112" t="s">
        <v>47</v>
      </c>
      <c r="B16" s="112"/>
      <c r="C16" s="114">
        <f ca="1">ROUND(C15/标准沙密度,1)</f>
        <v>11174.1</v>
      </c>
      <c r="D16" s="114"/>
      <c r="E16" s="114">
        <f ca="1">ROUND(E15/标准沙密度,1)</f>
        <v>10741.3</v>
      </c>
      <c r="F16" s="114"/>
      <c r="G16" s="114">
        <f ca="1">ROUND(G15/标准沙密度,1)</f>
        <v>10812.6</v>
      </c>
      <c r="H16" s="114"/>
      <c r="I16" s="114">
        <f ca="1">ROUND(I15/标准沙密度,1)</f>
        <v>11139.9</v>
      </c>
      <c r="J16" s="114"/>
      <c r="K16" s="114">
        <f ca="1">ROUND(K15/标准沙密度,1)</f>
        <v>10829.4</v>
      </c>
      <c r="L16" s="114"/>
    </row>
    <row r="17" spans="1:12" ht="18" customHeight="1">
      <c r="A17" s="112" t="s">
        <v>77</v>
      </c>
      <c r="B17" s="112"/>
      <c r="C17" s="113">
        <f ca="1">ROUND(C14/C16,3)</f>
        <v>2.5099999999999998</v>
      </c>
      <c r="D17" s="113"/>
      <c r="E17" s="113">
        <f ca="1">ROUND(E14/E16,3)</f>
        <v>2.5129999999999999</v>
      </c>
      <c r="F17" s="113"/>
      <c r="G17" s="113">
        <f ca="1">ROUND(G14/G16,3)</f>
        <v>2.5419999999999998</v>
      </c>
      <c r="H17" s="113"/>
      <c r="I17" s="113">
        <f ca="1">ROUND(I14/I16,3)</f>
        <v>2.5449999999999999</v>
      </c>
      <c r="J17" s="113"/>
      <c r="K17" s="113">
        <f ca="1">ROUND(K14/K16,3)</f>
        <v>2.528</v>
      </c>
      <c r="L17" s="113"/>
    </row>
    <row r="18" spans="1:12" ht="18" customHeight="1">
      <c r="A18" s="116" t="s">
        <v>8</v>
      </c>
      <c r="B18" s="32" t="s">
        <v>9</v>
      </c>
      <c r="C18" s="2">
        <f ca="1">辅助!C19</f>
        <v>3</v>
      </c>
      <c r="D18" s="2">
        <f ca="1">辅助!D19</f>
        <v>10</v>
      </c>
      <c r="E18" s="2">
        <f ca="1">辅助!E19</f>
        <v>7</v>
      </c>
      <c r="F18" s="2">
        <f ca="1">辅助!F19</f>
        <v>9</v>
      </c>
      <c r="G18" s="2">
        <f ca="1">辅助!G19</f>
        <v>12</v>
      </c>
      <c r="H18" s="2">
        <f ca="1">辅助!H19</f>
        <v>5</v>
      </c>
      <c r="I18" s="2">
        <f ca="1">辅助!I19</f>
        <v>11</v>
      </c>
      <c r="J18" s="2">
        <f ca="1">辅助!J19</f>
        <v>4</v>
      </c>
      <c r="K18" s="2">
        <f ca="1">辅助!K19</f>
        <v>6</v>
      </c>
      <c r="L18" s="2">
        <f ca="1">辅助!L19</f>
        <v>8</v>
      </c>
    </row>
    <row r="19" spans="1:12" ht="18" customHeight="1">
      <c r="A19" s="116"/>
      <c r="B19" s="32" t="s">
        <v>52</v>
      </c>
      <c r="C19" s="2">
        <f ca="1">辅助!C20</f>
        <v>25.78</v>
      </c>
      <c r="D19" s="2">
        <f ca="1">辅助!D20</f>
        <v>26.06</v>
      </c>
      <c r="E19" s="2">
        <f ca="1">辅助!E20</f>
        <v>24.59</v>
      </c>
      <c r="F19" s="2">
        <f ca="1">辅助!F20</f>
        <v>22.63</v>
      </c>
      <c r="G19" s="2">
        <f ca="1">辅助!G20</f>
        <v>24.88</v>
      </c>
      <c r="H19" s="2">
        <f ca="1">辅助!H20</f>
        <v>26.08</v>
      </c>
      <c r="I19" s="2">
        <f ca="1">辅助!I20</f>
        <v>26.73</v>
      </c>
      <c r="J19" s="2">
        <f ca="1">辅助!J20</f>
        <v>22.63</v>
      </c>
      <c r="K19" s="2">
        <f ca="1">辅助!K20</f>
        <v>23.43</v>
      </c>
      <c r="L19" s="2">
        <f ca="1">辅助!L20</f>
        <v>23.63</v>
      </c>
    </row>
    <row r="20" spans="1:12" ht="18" customHeight="1">
      <c r="A20" s="116"/>
      <c r="B20" s="32" t="s">
        <v>53</v>
      </c>
      <c r="C20" s="2">
        <f ca="1">ROUND(辅助!C21,0)</f>
        <v>655</v>
      </c>
      <c r="D20" s="2">
        <f ca="1">ROUND(辅助!D21,0)</f>
        <v>698</v>
      </c>
      <c r="E20" s="2">
        <f ca="1">ROUND(辅助!E21,0)</f>
        <v>685</v>
      </c>
      <c r="F20" s="2">
        <f ca="1">ROUND(辅助!F21,0)</f>
        <v>613</v>
      </c>
      <c r="G20" s="2">
        <f ca="1">ROUND(辅助!G21,0)</f>
        <v>678</v>
      </c>
      <c r="H20" s="2">
        <f ca="1">ROUND(辅助!H21,0)</f>
        <v>609</v>
      </c>
      <c r="I20" s="2">
        <f ca="1">ROUND(辅助!I21,0)</f>
        <v>676</v>
      </c>
      <c r="J20" s="2">
        <f ca="1">ROUND(辅助!J21,0)</f>
        <v>696</v>
      </c>
      <c r="K20" s="2">
        <f ca="1">ROUND(辅助!K21,0)</f>
        <v>583</v>
      </c>
      <c r="L20" s="2">
        <f ca="1">ROUND(辅助!L21,0)</f>
        <v>585</v>
      </c>
    </row>
    <row r="21" spans="1:12" ht="18" customHeight="1">
      <c r="A21" s="116"/>
      <c r="B21" s="32" t="s">
        <v>54</v>
      </c>
      <c r="C21" s="2">
        <f ca="1">ROUND(辅助!C22,0)</f>
        <v>602</v>
      </c>
      <c r="D21" s="2">
        <f ca="1">ROUND(辅助!D22,0)</f>
        <v>641</v>
      </c>
      <c r="E21" s="2">
        <f ca="1">ROUND(辅助!E22,0)</f>
        <v>636</v>
      </c>
      <c r="F21" s="2">
        <f ca="1">ROUND(辅助!F22,0)</f>
        <v>569</v>
      </c>
      <c r="G21" s="2">
        <f ca="1">ROUND(辅助!G22,0)</f>
        <v>625</v>
      </c>
      <c r="H21" s="2">
        <f ca="1">ROUND(辅助!H22,0)</f>
        <v>562</v>
      </c>
      <c r="I21" s="2">
        <f ca="1">ROUND(辅助!I22,0)</f>
        <v>624</v>
      </c>
      <c r="J21" s="2">
        <f ca="1">ROUND(辅助!J22,0)</f>
        <v>642</v>
      </c>
      <c r="K21" s="2">
        <f ca="1">ROUND(辅助!K22,0)</f>
        <v>540</v>
      </c>
      <c r="L21" s="2">
        <f ca="1">ROUND(辅助!L22,0)</f>
        <v>542</v>
      </c>
    </row>
    <row r="22" spans="1:12" ht="18" customHeight="1">
      <c r="A22" s="116"/>
      <c r="B22" s="32" t="s">
        <v>55</v>
      </c>
      <c r="C22" s="2">
        <f ca="1">C20-C21</f>
        <v>53</v>
      </c>
      <c r="D22" s="2">
        <f t="shared" ref="D22:L22" ca="1" si="0">D20-D21</f>
        <v>57</v>
      </c>
      <c r="E22" s="2">
        <f t="shared" ca="1" si="0"/>
        <v>49</v>
      </c>
      <c r="F22" s="2">
        <f t="shared" ca="1" si="0"/>
        <v>44</v>
      </c>
      <c r="G22" s="2">
        <f t="shared" ca="1" si="0"/>
        <v>53</v>
      </c>
      <c r="H22" s="2">
        <f t="shared" ca="1" si="0"/>
        <v>47</v>
      </c>
      <c r="I22" s="2">
        <f t="shared" ca="1" si="0"/>
        <v>52</v>
      </c>
      <c r="J22" s="2">
        <f t="shared" ca="1" si="0"/>
        <v>54</v>
      </c>
      <c r="K22" s="2">
        <f t="shared" ca="1" si="0"/>
        <v>43</v>
      </c>
      <c r="L22" s="2">
        <f t="shared" ca="1" si="0"/>
        <v>43</v>
      </c>
    </row>
    <row r="23" spans="1:12" ht="18" customHeight="1">
      <c r="A23" s="116"/>
      <c r="B23" s="32" t="s">
        <v>56</v>
      </c>
      <c r="C23" s="2">
        <f ca="1">C21-C19</f>
        <v>576.22</v>
      </c>
      <c r="D23" s="2">
        <f t="shared" ref="D23:L23" ca="1" si="1">D21-D19</f>
        <v>614.94000000000005</v>
      </c>
      <c r="E23" s="2">
        <f t="shared" ca="1" si="1"/>
        <v>611.41</v>
      </c>
      <c r="F23" s="2">
        <f t="shared" ca="1" si="1"/>
        <v>546.37</v>
      </c>
      <c r="G23" s="2">
        <f t="shared" ca="1" si="1"/>
        <v>600.12</v>
      </c>
      <c r="H23" s="2">
        <f t="shared" ca="1" si="1"/>
        <v>535.91999999999996</v>
      </c>
      <c r="I23" s="2">
        <f t="shared" ca="1" si="1"/>
        <v>597.27</v>
      </c>
      <c r="J23" s="2">
        <f t="shared" ca="1" si="1"/>
        <v>619.37</v>
      </c>
      <c r="K23" s="2">
        <f t="shared" ca="1" si="1"/>
        <v>516.57000000000005</v>
      </c>
      <c r="L23" s="2">
        <f t="shared" ca="1" si="1"/>
        <v>518.37</v>
      </c>
    </row>
    <row r="24" spans="1:12" ht="18" customHeight="1">
      <c r="A24" s="116"/>
      <c r="B24" s="32" t="s">
        <v>6</v>
      </c>
      <c r="C24" s="8">
        <f ca="1">ROUND(100*C22/C23,1)</f>
        <v>9.1999999999999993</v>
      </c>
      <c r="D24" s="8">
        <f t="shared" ref="D24:L24" ca="1" si="2">ROUND(100*D22/D23,1)</f>
        <v>9.3000000000000007</v>
      </c>
      <c r="E24" s="8">
        <f t="shared" ca="1" si="2"/>
        <v>8</v>
      </c>
      <c r="F24" s="8">
        <f t="shared" ca="1" si="2"/>
        <v>8.1</v>
      </c>
      <c r="G24" s="8">
        <f t="shared" ca="1" si="2"/>
        <v>8.8000000000000007</v>
      </c>
      <c r="H24" s="8">
        <f t="shared" ca="1" si="2"/>
        <v>8.8000000000000007</v>
      </c>
      <c r="I24" s="8">
        <f t="shared" ca="1" si="2"/>
        <v>8.6999999999999993</v>
      </c>
      <c r="J24" s="8">
        <f t="shared" ca="1" si="2"/>
        <v>8.6999999999999993</v>
      </c>
      <c r="K24" s="8">
        <f t="shared" ca="1" si="2"/>
        <v>8.3000000000000007</v>
      </c>
      <c r="L24" s="8">
        <f t="shared" ca="1" si="2"/>
        <v>8.3000000000000007</v>
      </c>
    </row>
    <row r="25" spans="1:12" ht="18" customHeight="1">
      <c r="A25" s="116"/>
      <c r="B25" s="32" t="s">
        <v>10</v>
      </c>
      <c r="C25" s="114">
        <f ca="1">ROUND((C24+D24)/2,1)</f>
        <v>9.3000000000000007</v>
      </c>
      <c r="D25" s="114"/>
      <c r="E25" s="114">
        <f ca="1">ROUND((E24+F24)/2,1)</f>
        <v>8.1</v>
      </c>
      <c r="F25" s="114"/>
      <c r="G25" s="114">
        <f ca="1">ROUND((G24+H24)/2,1)</f>
        <v>8.8000000000000007</v>
      </c>
      <c r="H25" s="114"/>
      <c r="I25" s="114">
        <f ca="1">ROUND((I24+J24)/2,1)</f>
        <v>8.6999999999999993</v>
      </c>
      <c r="J25" s="114"/>
      <c r="K25" s="114">
        <f ca="1">ROUND((K24+L24)/2,1)</f>
        <v>8.3000000000000007</v>
      </c>
      <c r="L25" s="114"/>
    </row>
    <row r="26" spans="1:12" ht="18" customHeight="1">
      <c r="A26" s="112" t="s">
        <v>65</v>
      </c>
      <c r="B26" s="112"/>
      <c r="C26" s="115">
        <f ca="1">ROUND(C17/(1+C25/100),3)</f>
        <v>2.2959999999999998</v>
      </c>
      <c r="D26" s="115"/>
      <c r="E26" s="115">
        <f ca="1">ROUND(E17/(1+E25/100),3)</f>
        <v>2.3250000000000002</v>
      </c>
      <c r="F26" s="115"/>
      <c r="G26" s="115">
        <f ca="1">ROUND(G17/(1+G25/100),3)</f>
        <v>2.3359999999999999</v>
      </c>
      <c r="H26" s="115"/>
      <c r="I26" s="115">
        <f ca="1">ROUND(I17/(1+I25/100),3)</f>
        <v>2.3410000000000002</v>
      </c>
      <c r="J26" s="115"/>
      <c r="K26" s="115">
        <f ca="1">ROUND(K17/(1+K25/100),3)</f>
        <v>2.3340000000000001</v>
      </c>
      <c r="L26" s="115"/>
    </row>
    <row r="27" spans="1:12" ht="18" customHeight="1">
      <c r="A27" s="112" t="s">
        <v>66</v>
      </c>
      <c r="B27" s="112"/>
      <c r="C27" s="115">
        <f>辅助!C28</f>
        <v>2.36</v>
      </c>
      <c r="D27" s="115"/>
      <c r="E27" s="115">
        <f>辅助!E28</f>
        <v>2.36</v>
      </c>
      <c r="F27" s="115"/>
      <c r="G27" s="115">
        <f>辅助!G28</f>
        <v>2.36</v>
      </c>
      <c r="H27" s="115"/>
      <c r="I27" s="115">
        <f>辅助!I28</f>
        <v>2.36</v>
      </c>
      <c r="J27" s="115"/>
      <c r="K27" s="115">
        <f>辅助!K28</f>
        <v>2.36</v>
      </c>
      <c r="L27" s="115"/>
    </row>
    <row r="28" spans="1:12" ht="18" customHeight="1">
      <c r="A28" s="112" t="s">
        <v>67</v>
      </c>
      <c r="B28" s="112"/>
      <c r="C28" s="114">
        <f ca="1">ROUND(C26*100/C27,1)</f>
        <v>97.3</v>
      </c>
      <c r="D28" s="114"/>
      <c r="E28" s="114">
        <f ca="1">ROUND(E26*100/E27,1)</f>
        <v>98.5</v>
      </c>
      <c r="F28" s="114"/>
      <c r="G28" s="114">
        <f ca="1">ROUND(G26*100/G27,1)</f>
        <v>99</v>
      </c>
      <c r="H28" s="114"/>
      <c r="I28" s="114">
        <f ca="1">ROUND(I26*100/I27,1)</f>
        <v>99.2</v>
      </c>
      <c r="J28" s="114"/>
      <c r="K28" s="114">
        <f ca="1">ROUND(K26*100/K27,1)</f>
        <v>98.9</v>
      </c>
      <c r="L28" s="114"/>
    </row>
    <row r="29" spans="1:12" ht="18" customHeight="1">
      <c r="A29" s="112" t="s">
        <v>64</v>
      </c>
      <c r="B29" s="112"/>
      <c r="C29" s="113">
        <f>辅助!C30</f>
        <v>0</v>
      </c>
      <c r="D29" s="113"/>
      <c r="E29" s="113">
        <f>辅助!E30</f>
        <v>0</v>
      </c>
      <c r="F29" s="113"/>
      <c r="G29" s="113">
        <f>辅助!G30</f>
        <v>0</v>
      </c>
      <c r="H29" s="113"/>
      <c r="I29" s="113">
        <f>辅助!I30</f>
        <v>0</v>
      </c>
      <c r="J29" s="113"/>
      <c r="K29" s="113">
        <f>辅助!K30</f>
        <v>0</v>
      </c>
      <c r="L29" s="113"/>
    </row>
    <row r="30" spans="1:12" ht="18" customHeight="1">
      <c r="A30" s="21"/>
      <c r="B30" s="21"/>
      <c r="C30" s="22"/>
      <c r="D30" s="22"/>
      <c r="E30" s="22"/>
      <c r="F30" s="22"/>
      <c r="G30" s="22"/>
      <c r="H30" s="22"/>
      <c r="I30" s="22"/>
      <c r="J30" s="22"/>
      <c r="K30" s="22"/>
      <c r="L30" s="22"/>
    </row>
    <row r="31" spans="1:12" ht="18" customHeight="1">
      <c r="A31" s="27" t="s">
        <v>14</v>
      </c>
      <c r="B31" s="27"/>
      <c r="C31" s="117" t="s">
        <v>15</v>
      </c>
      <c r="D31" s="117"/>
      <c r="E31" s="117"/>
      <c r="F31" s="117"/>
      <c r="G31" s="117" t="s">
        <v>16</v>
      </c>
      <c r="H31" s="117"/>
      <c r="I31" s="117"/>
      <c r="J31" s="117"/>
      <c r="K31" s="117"/>
      <c r="L31" s="117"/>
    </row>
    <row r="40" hidden="1"/>
    <row r="41" hidden="1"/>
    <row r="42" hidden="1"/>
    <row r="43" hidden="1"/>
    <row r="44" hidden="1"/>
    <row r="45" hidden="1"/>
    <row r="46" hidden="1"/>
    <row r="47" ht="14.25" hidden="1" customHeight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</sheetData>
  <sheetProtection selectLockedCells="1" selectUnlockedCells="1"/>
  <protectedRanges>
    <protectedRange sqref="C1:J2 A1:B3 C3:F3 L3:L4 H3:J4 A4:F4" name="区域1"/>
    <protectedRange sqref="C6:L8" name="区域1_1"/>
  </protectedRanges>
  <customSheetViews>
    <customSheetView guid="{FF1E879A-E9FC-4772-9EB5-FC03EFEBC3D5}" hiddenRows="1" state="hidden" showRuler="0">
      <selection activeCell="H7" sqref="H7"/>
      <pageMargins left="0.75" right="0.75" top="1" bottom="1" header="0.5" footer="0.5"/>
      <pageSetup paperSize="9" orientation="portrait" horizontalDpi="4294967293" verticalDpi="4294967293" r:id="rId1"/>
      <headerFooter alignWithMargins="0"/>
    </customSheetView>
  </customSheetViews>
  <mergeCells count="74">
    <mergeCell ref="C31:F31"/>
    <mergeCell ref="E28:F28"/>
    <mergeCell ref="E27:F27"/>
    <mergeCell ref="C27:D27"/>
    <mergeCell ref="C28:D28"/>
    <mergeCell ref="G31:L31"/>
    <mergeCell ref="K29:L29"/>
    <mergeCell ref="G29:H29"/>
    <mergeCell ref="C29:D29"/>
    <mergeCell ref="E29:F29"/>
    <mergeCell ref="I29:J29"/>
    <mergeCell ref="I27:J27"/>
    <mergeCell ref="K14:L14"/>
    <mergeCell ref="A17:B17"/>
    <mergeCell ref="A18:A25"/>
    <mergeCell ref="C25:D25"/>
    <mergeCell ref="E25:F25"/>
    <mergeCell ref="A26:B26"/>
    <mergeCell ref="K16:L16"/>
    <mergeCell ref="G16:H16"/>
    <mergeCell ref="C14:D14"/>
    <mergeCell ref="K13:L13"/>
    <mergeCell ref="C17:D17"/>
    <mergeCell ref="K28:L28"/>
    <mergeCell ref="G28:H28"/>
    <mergeCell ref="I28:J28"/>
    <mergeCell ref="K27:L27"/>
    <mergeCell ref="C26:D26"/>
    <mergeCell ref="E17:F17"/>
    <mergeCell ref="G27:H27"/>
    <mergeCell ref="K25:L25"/>
    <mergeCell ref="A11:B11"/>
    <mergeCell ref="C11:D11"/>
    <mergeCell ref="E11:F11"/>
    <mergeCell ref="E12:F12"/>
    <mergeCell ref="A12:B12"/>
    <mergeCell ref="K11:L11"/>
    <mergeCell ref="K12:L12"/>
    <mergeCell ref="I11:J11"/>
    <mergeCell ref="I12:J12"/>
    <mergeCell ref="E14:F14"/>
    <mergeCell ref="G14:H14"/>
    <mergeCell ref="G11:H11"/>
    <mergeCell ref="C12:D12"/>
    <mergeCell ref="G12:H12"/>
    <mergeCell ref="C13:D13"/>
    <mergeCell ref="E13:F13"/>
    <mergeCell ref="K15:L15"/>
    <mergeCell ref="K26:L26"/>
    <mergeCell ref="K17:L17"/>
    <mergeCell ref="G17:H17"/>
    <mergeCell ref="I17:J17"/>
    <mergeCell ref="I16:J16"/>
    <mergeCell ref="C16:D16"/>
    <mergeCell ref="E16:F16"/>
    <mergeCell ref="A15:B15"/>
    <mergeCell ref="C15:D15"/>
    <mergeCell ref="E26:F26"/>
    <mergeCell ref="G15:H15"/>
    <mergeCell ref="E15:F15"/>
    <mergeCell ref="I13:J13"/>
    <mergeCell ref="G13:H13"/>
    <mergeCell ref="I25:J25"/>
    <mergeCell ref="I26:J26"/>
    <mergeCell ref="G25:H25"/>
    <mergeCell ref="G26:H26"/>
    <mergeCell ref="I14:J14"/>
    <mergeCell ref="I15:J15"/>
    <mergeCell ref="A13:B13"/>
    <mergeCell ref="A14:B14"/>
    <mergeCell ref="A28:B28"/>
    <mergeCell ref="A29:B29"/>
    <mergeCell ref="A16:B16"/>
    <mergeCell ref="A27:B27"/>
  </mergeCells>
  <phoneticPr fontId="2" type="noConversion"/>
  <pageMargins left="0.75" right="0.75" top="1" bottom="1" header="0.5" footer="0.5"/>
  <pageSetup paperSize="9" orientation="portrait" horizontalDpi="4294967293" verticalDpi="4294967293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M31"/>
  <sheetViews>
    <sheetView tabSelected="1" workbookViewId="0">
      <selection activeCell="J23" sqref="J23"/>
    </sheetView>
  </sheetViews>
  <sheetFormatPr defaultRowHeight="14.25"/>
  <cols>
    <col min="1" max="1" width="8.625" style="24" customWidth="1"/>
    <col min="2" max="2" width="17" style="24" customWidth="1"/>
    <col min="3" max="3" width="11.25" style="24" customWidth="1"/>
    <col min="4" max="5" width="8.625" style="24" customWidth="1"/>
    <col min="6" max="6" width="12.875" style="24" customWidth="1"/>
    <col min="7" max="11" width="8.625" style="24" customWidth="1"/>
    <col min="12" max="12" width="9.5" style="24" bestFit="1" customWidth="1"/>
    <col min="13" max="13" width="7.625" style="24" customWidth="1"/>
    <col min="14" max="16384" width="9" style="24"/>
  </cols>
  <sheetData>
    <row r="1" spans="1:13" customFormat="1" ht="21" customHeight="1" thickBot="1">
      <c r="A1" s="118"/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</row>
    <row r="2" spans="1:13" customFormat="1" ht="21" customHeight="1">
      <c r="A2" s="37" t="s">
        <v>42</v>
      </c>
      <c r="B2" s="38">
        <v>2.36</v>
      </c>
      <c r="C2" s="38"/>
      <c r="D2" s="38" t="s">
        <v>72</v>
      </c>
      <c r="E2" s="38" t="s">
        <v>73</v>
      </c>
      <c r="F2" s="38"/>
      <c r="G2" s="38" t="s">
        <v>72</v>
      </c>
      <c r="H2" s="38" t="s">
        <v>73</v>
      </c>
      <c r="I2" s="38" t="s">
        <v>43</v>
      </c>
      <c r="J2" s="39">
        <v>20000</v>
      </c>
      <c r="K2" s="40" t="s">
        <v>78</v>
      </c>
      <c r="L2" s="40"/>
      <c r="M2" s="53"/>
    </row>
    <row r="3" spans="1:13" customFormat="1">
      <c r="A3" s="25" t="s">
        <v>49</v>
      </c>
      <c r="B3" s="26">
        <v>1.43</v>
      </c>
      <c r="C3" s="41" t="s">
        <v>44</v>
      </c>
      <c r="D3" s="41">
        <v>97.1</v>
      </c>
      <c r="E3" s="41">
        <v>99.3</v>
      </c>
      <c r="F3" s="41" t="s">
        <v>76</v>
      </c>
      <c r="G3" s="41">
        <v>550</v>
      </c>
      <c r="H3" s="41">
        <v>678</v>
      </c>
      <c r="I3" s="42" t="s">
        <v>45</v>
      </c>
      <c r="J3" s="41">
        <v>93</v>
      </c>
      <c r="K3" s="42"/>
      <c r="L3" s="42"/>
      <c r="M3" s="54"/>
    </row>
    <row r="4" spans="1:13" customFormat="1">
      <c r="A4" s="25" t="s">
        <v>59</v>
      </c>
      <c r="B4" s="26">
        <v>172</v>
      </c>
      <c r="C4" s="41" t="s">
        <v>58</v>
      </c>
      <c r="D4" s="41">
        <v>3800</v>
      </c>
      <c r="E4" s="41">
        <v>4700</v>
      </c>
      <c r="F4" s="41" t="s">
        <v>71</v>
      </c>
      <c r="G4" s="41">
        <v>7.89</v>
      </c>
      <c r="H4" s="41">
        <v>11.2</v>
      </c>
      <c r="I4" s="41" t="s">
        <v>74</v>
      </c>
      <c r="J4" s="41">
        <v>0.1</v>
      </c>
      <c r="K4" s="41"/>
      <c r="L4" s="42"/>
      <c r="M4" s="54"/>
    </row>
    <row r="5" spans="1:13" customFormat="1">
      <c r="A5" s="25" t="s">
        <v>46</v>
      </c>
      <c r="B5" s="26">
        <v>1</v>
      </c>
      <c r="C5" s="26">
        <v>2</v>
      </c>
      <c r="D5" s="26">
        <v>3</v>
      </c>
      <c r="E5" s="26">
        <v>4</v>
      </c>
      <c r="F5" s="26">
        <v>5</v>
      </c>
      <c r="G5" s="26">
        <v>6</v>
      </c>
      <c r="H5" s="41">
        <v>7</v>
      </c>
      <c r="I5" s="26">
        <v>8</v>
      </c>
      <c r="J5" s="26">
        <v>9</v>
      </c>
      <c r="K5" s="26">
        <v>10</v>
      </c>
      <c r="L5" s="26">
        <v>11</v>
      </c>
      <c r="M5" s="55">
        <v>12</v>
      </c>
    </row>
    <row r="6" spans="1:13" customFormat="1" ht="12.75" customHeight="1" thickBot="1">
      <c r="A6" s="43" t="s">
        <v>57</v>
      </c>
      <c r="B6" s="44">
        <v>25.09</v>
      </c>
      <c r="C6" s="44">
        <v>24.19</v>
      </c>
      <c r="D6" s="44">
        <v>25.78</v>
      </c>
      <c r="E6" s="44">
        <v>22.63</v>
      </c>
      <c r="F6" s="44">
        <v>26.08</v>
      </c>
      <c r="G6" s="44">
        <v>23.43</v>
      </c>
      <c r="H6" s="44">
        <v>24.59</v>
      </c>
      <c r="I6" s="44">
        <v>23.63</v>
      </c>
      <c r="J6" s="44">
        <v>22.63</v>
      </c>
      <c r="K6" s="44">
        <v>26.06</v>
      </c>
      <c r="L6" s="44">
        <v>26.73</v>
      </c>
      <c r="M6" s="56">
        <v>24.88</v>
      </c>
    </row>
    <row r="7" spans="1:13" customFormat="1" ht="12.75" hidden="1" customHeight="1">
      <c r="A7" s="28" t="s">
        <v>75</v>
      </c>
      <c r="B7" s="45">
        <f t="shared" ref="B7:M7" ca="1" si="0">RAND()</f>
        <v>0.73976437949800911</v>
      </c>
      <c r="C7" s="45">
        <f t="shared" ca="1" si="0"/>
        <v>0.14549915303669869</v>
      </c>
      <c r="D7" s="45">
        <f t="shared" ca="1" si="0"/>
        <v>0.3690076491218548</v>
      </c>
      <c r="E7" s="45">
        <f t="shared" ca="1" si="0"/>
        <v>0.35650604011695397</v>
      </c>
      <c r="F7" s="45">
        <f t="shared" ca="1" si="0"/>
        <v>4.6248383380058655E-3</v>
      </c>
      <c r="G7" s="45">
        <f t="shared" ca="1" si="0"/>
        <v>0.53741298767810708</v>
      </c>
      <c r="H7" s="45">
        <f t="shared" ca="1" si="0"/>
        <v>0.11773227979677792</v>
      </c>
      <c r="I7" s="45">
        <f t="shared" ca="1" si="0"/>
        <v>0.63438365336785907</v>
      </c>
      <c r="J7" s="45">
        <f t="shared" ca="1" si="0"/>
        <v>0.40742842528884626</v>
      </c>
      <c r="K7" s="45">
        <f t="shared" ca="1" si="0"/>
        <v>0.36186238981117858</v>
      </c>
      <c r="L7" s="45">
        <f t="shared" ca="1" si="0"/>
        <v>0.86604369288109617</v>
      </c>
      <c r="M7" s="29">
        <f t="shared" ca="1" si="0"/>
        <v>0.77482850136104009</v>
      </c>
    </row>
    <row r="8" spans="1:13" customFormat="1" ht="12.75" hidden="1" customHeight="1">
      <c r="A8" s="25" t="s">
        <v>46</v>
      </c>
      <c r="B8" s="26">
        <f t="shared" ref="B8:M8" ca="1" si="1">RANK(盒号随机排列,盒号随机排列)</f>
        <v>3</v>
      </c>
      <c r="C8" s="26">
        <f t="shared" ca="1" si="1"/>
        <v>10</v>
      </c>
      <c r="D8" s="26">
        <f t="shared" ca="1" si="1"/>
        <v>7</v>
      </c>
      <c r="E8" s="26">
        <f t="shared" ca="1" si="1"/>
        <v>9</v>
      </c>
      <c r="F8" s="26">
        <f t="shared" ca="1" si="1"/>
        <v>12</v>
      </c>
      <c r="G8" s="26">
        <f t="shared" ca="1" si="1"/>
        <v>5</v>
      </c>
      <c r="H8" s="26">
        <f t="shared" ca="1" si="1"/>
        <v>11</v>
      </c>
      <c r="I8" s="26">
        <f t="shared" ca="1" si="1"/>
        <v>4</v>
      </c>
      <c r="J8" s="26">
        <f t="shared" ca="1" si="1"/>
        <v>6</v>
      </c>
      <c r="K8" s="26">
        <f t="shared" ca="1" si="1"/>
        <v>8</v>
      </c>
      <c r="L8" s="26">
        <f t="shared" ca="1" si="1"/>
        <v>1</v>
      </c>
      <c r="M8" s="26">
        <f t="shared" ca="1" si="1"/>
        <v>2</v>
      </c>
    </row>
    <row r="9" spans="1:13" customFormat="1" ht="12.75" customHeight="1">
      <c r="A9" s="46" t="s">
        <v>50</v>
      </c>
      <c r="B9" s="46"/>
      <c r="C9" s="46"/>
      <c r="D9" s="46"/>
      <c r="E9" s="46"/>
      <c r="F9" s="47"/>
      <c r="G9" s="22"/>
      <c r="H9" s="121"/>
      <c r="I9" s="121"/>
      <c r="J9" s="47"/>
      <c r="K9" s="47"/>
      <c r="L9" s="48"/>
    </row>
    <row r="10" spans="1:13" customFormat="1">
      <c r="A10" s="119" t="s">
        <v>51</v>
      </c>
      <c r="B10" s="120"/>
      <c r="C10" s="120"/>
      <c r="D10" s="48"/>
      <c r="E10" s="48"/>
      <c r="F10" s="48"/>
      <c r="G10" s="48" t="s">
        <v>79</v>
      </c>
      <c r="H10" s="48" t="s">
        <v>79</v>
      </c>
      <c r="I10" s="48"/>
      <c r="J10" s="48"/>
      <c r="K10" s="48"/>
      <c r="L10" s="48"/>
    </row>
    <row r="11" spans="1:13" s="35" customFormat="1" ht="15.75" customHeight="1" thickBot="1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</row>
    <row r="12" spans="1:13" s="23" customFormat="1" ht="15.95" customHeight="1">
      <c r="A12" s="136" t="s">
        <v>60</v>
      </c>
      <c r="B12" s="137"/>
      <c r="C12" s="134">
        <f>沙总重</f>
        <v>20000</v>
      </c>
      <c r="D12" s="134"/>
      <c r="E12" s="134">
        <f>沙总重</f>
        <v>20000</v>
      </c>
      <c r="F12" s="134"/>
      <c r="G12" s="134">
        <f>沙总重</f>
        <v>20000</v>
      </c>
      <c r="H12" s="134"/>
      <c r="I12" s="134">
        <f>沙总重</f>
        <v>20000</v>
      </c>
      <c r="J12" s="134"/>
      <c r="K12" s="134">
        <f>沙总重</f>
        <v>20000</v>
      </c>
      <c r="L12" s="135"/>
    </row>
    <row r="13" spans="1:13" s="23" customFormat="1" ht="15.95" customHeight="1">
      <c r="A13" s="126" t="s">
        <v>68</v>
      </c>
      <c r="B13" s="113"/>
      <c r="C13" s="124">
        <f ca="1">ROUND((RAND()*(余沙质量最大值-余沙质量最小值)+余沙质量最小值),0)</f>
        <v>3849</v>
      </c>
      <c r="D13" s="124"/>
      <c r="E13" s="124">
        <f ca="1">ROUND((RAND()*(余沙质量最大值-余沙质量最小值)+余沙质量最小值),0)</f>
        <v>4468</v>
      </c>
      <c r="F13" s="124"/>
      <c r="G13" s="124">
        <f ca="1">ROUND((RAND()*(余沙质量最大值-余沙质量最小值)+余沙质量最小值),0)</f>
        <v>4366</v>
      </c>
      <c r="H13" s="124"/>
      <c r="I13" s="124">
        <f ca="1">ROUND((RAND()*(余沙质量最大值-余沙质量最小值)+余沙质量最小值),0)</f>
        <v>3898</v>
      </c>
      <c r="J13" s="124"/>
      <c r="K13" s="124">
        <f ca="1">ROUND((RAND()*(余沙质量最大值-余沙质量最小值)+余沙质量最小值),0)</f>
        <v>4342</v>
      </c>
      <c r="L13" s="125"/>
    </row>
    <row r="14" spans="1:13" s="23" customFormat="1" ht="15.95" customHeight="1">
      <c r="A14" s="126" t="s">
        <v>61</v>
      </c>
      <c r="B14" s="113"/>
      <c r="C14" s="124">
        <f ca="1">C12-C13</f>
        <v>16151</v>
      </c>
      <c r="D14" s="124"/>
      <c r="E14" s="124">
        <f ca="1">E12-E13</f>
        <v>15532</v>
      </c>
      <c r="F14" s="124"/>
      <c r="G14" s="124">
        <f ca="1">G12-G13</f>
        <v>15634</v>
      </c>
      <c r="H14" s="124"/>
      <c r="I14" s="124">
        <f ca="1">I12-I13</f>
        <v>16102</v>
      </c>
      <c r="J14" s="124"/>
      <c r="K14" s="124">
        <f ca="1">K12-K13</f>
        <v>15658</v>
      </c>
      <c r="L14" s="125"/>
    </row>
    <row r="15" spans="1:13" s="23" customFormat="1" ht="15.95" customHeight="1">
      <c r="A15" s="126" t="s">
        <v>62</v>
      </c>
      <c r="B15" s="113"/>
      <c r="C15" s="132">
        <f ca="1">C17*C18</f>
        <v>28047.055944055945</v>
      </c>
      <c r="D15" s="132"/>
      <c r="E15" s="132">
        <f ca="1">E17*E18</f>
        <v>26992.783216783217</v>
      </c>
      <c r="F15" s="132"/>
      <c r="G15" s="132">
        <f ca="1">G17*G18</f>
        <v>27485.597202797202</v>
      </c>
      <c r="H15" s="132"/>
      <c r="I15" s="132">
        <f ca="1">I17*I18</f>
        <v>28350.944055944055</v>
      </c>
      <c r="J15" s="132"/>
      <c r="K15" s="132">
        <f ca="1">K17*K18</f>
        <v>27376.648951048952</v>
      </c>
      <c r="L15" s="133"/>
    </row>
    <row r="16" spans="1:13" s="23" customFormat="1" ht="15.95" customHeight="1">
      <c r="A16" s="126" t="s">
        <v>63</v>
      </c>
      <c r="B16" s="113"/>
      <c r="C16" s="124">
        <f ca="1">C14-锥体沙重</f>
        <v>15979</v>
      </c>
      <c r="D16" s="124"/>
      <c r="E16" s="124">
        <f ca="1">E14-锥体沙重</f>
        <v>15360</v>
      </c>
      <c r="F16" s="124"/>
      <c r="G16" s="124">
        <f ca="1">G14-锥体沙重</f>
        <v>15462</v>
      </c>
      <c r="H16" s="124"/>
      <c r="I16" s="124">
        <f ca="1">I14-锥体沙重</f>
        <v>15930</v>
      </c>
      <c r="J16" s="124"/>
      <c r="K16" s="124">
        <f ca="1">K14-锥体沙重</f>
        <v>15486</v>
      </c>
      <c r="L16" s="125"/>
    </row>
    <row r="17" spans="1:12" s="23" customFormat="1" ht="15.95" customHeight="1">
      <c r="A17" s="126" t="s">
        <v>47</v>
      </c>
      <c r="B17" s="113"/>
      <c r="C17" s="132">
        <f ca="1">C16/标准沙密度</f>
        <v>11174.125874125875</v>
      </c>
      <c r="D17" s="132"/>
      <c r="E17" s="132">
        <f ca="1">E16/标准沙密度</f>
        <v>10741.258741258742</v>
      </c>
      <c r="F17" s="132"/>
      <c r="G17" s="132">
        <f ca="1">G16/标准沙密度</f>
        <v>10812.587412587412</v>
      </c>
      <c r="H17" s="132"/>
      <c r="I17" s="132">
        <f ca="1">I16/标准沙密度</f>
        <v>11139.86013986014</v>
      </c>
      <c r="J17" s="132"/>
      <c r="K17" s="132">
        <f ca="1">K16/标准沙密度</f>
        <v>10829.370629370629</v>
      </c>
      <c r="L17" s="133"/>
    </row>
    <row r="18" spans="1:12" s="23" customFormat="1" ht="15.95" customHeight="1">
      <c r="A18" s="126" t="s">
        <v>48</v>
      </c>
      <c r="B18" s="113"/>
      <c r="C18" s="124">
        <f ca="1">ROUND(C27*(C26/100+1),3)</f>
        <v>2.5099999999999998</v>
      </c>
      <c r="D18" s="124"/>
      <c r="E18" s="124">
        <f ca="1">ROUND(E27*(E26/100+1),3)</f>
        <v>2.5129999999999999</v>
      </c>
      <c r="F18" s="124"/>
      <c r="G18" s="124">
        <f ca="1">ROUND(G27*(G26/100+1),3)</f>
        <v>2.5419999999999998</v>
      </c>
      <c r="H18" s="124"/>
      <c r="I18" s="124">
        <f ca="1">ROUND(I27*(I26/100+1),3)</f>
        <v>2.5449999999999999</v>
      </c>
      <c r="J18" s="124"/>
      <c r="K18" s="124">
        <f ca="1">ROUND(K27*(K26/100+1),3)</f>
        <v>2.528</v>
      </c>
      <c r="L18" s="125"/>
    </row>
    <row r="19" spans="1:12" ht="15.95" customHeight="1">
      <c r="A19" s="131" t="s">
        <v>8</v>
      </c>
      <c r="B19" s="36" t="s">
        <v>9</v>
      </c>
      <c r="C19" s="41">
        <f ca="1">INDEX(盒号,1,B8)</f>
        <v>3</v>
      </c>
      <c r="D19" s="41">
        <f ca="1">INDEX(盒号,1,C8)</f>
        <v>10</v>
      </c>
      <c r="E19" s="41">
        <f t="shared" ref="E19:L19" ca="1" si="2">INDEX(盒号,1,D8)</f>
        <v>7</v>
      </c>
      <c r="F19" s="41">
        <f t="shared" ca="1" si="2"/>
        <v>9</v>
      </c>
      <c r="G19" s="41">
        <f t="shared" ca="1" si="2"/>
        <v>12</v>
      </c>
      <c r="H19" s="41">
        <f t="shared" ca="1" si="2"/>
        <v>5</v>
      </c>
      <c r="I19" s="41">
        <f t="shared" ca="1" si="2"/>
        <v>11</v>
      </c>
      <c r="J19" s="41">
        <f t="shared" ca="1" si="2"/>
        <v>4</v>
      </c>
      <c r="K19" s="41">
        <f t="shared" ca="1" si="2"/>
        <v>6</v>
      </c>
      <c r="L19" s="50">
        <f t="shared" ca="1" si="2"/>
        <v>8</v>
      </c>
    </row>
    <row r="20" spans="1:12" ht="15.95" customHeight="1">
      <c r="A20" s="131"/>
      <c r="B20" s="36" t="s">
        <v>52</v>
      </c>
      <c r="C20" s="51">
        <f ca="1">INDEX(盒质量,,B8)</f>
        <v>25.78</v>
      </c>
      <c r="D20" s="51">
        <f ca="1">INDEX(盒质量,,C8)</f>
        <v>26.06</v>
      </c>
      <c r="E20" s="51">
        <f t="shared" ref="E20:L20" ca="1" si="3">INDEX(盒质量,,D8)</f>
        <v>24.59</v>
      </c>
      <c r="F20" s="51">
        <f t="shared" ca="1" si="3"/>
        <v>22.63</v>
      </c>
      <c r="G20" s="51">
        <f t="shared" ca="1" si="3"/>
        <v>24.88</v>
      </c>
      <c r="H20" s="51">
        <f t="shared" ca="1" si="3"/>
        <v>26.08</v>
      </c>
      <c r="I20" s="51">
        <f t="shared" ca="1" si="3"/>
        <v>26.73</v>
      </c>
      <c r="J20" s="51">
        <f t="shared" ca="1" si="3"/>
        <v>22.63</v>
      </c>
      <c r="K20" s="51">
        <f t="shared" ca="1" si="3"/>
        <v>23.43</v>
      </c>
      <c r="L20" s="52">
        <f t="shared" ca="1" si="3"/>
        <v>23.63</v>
      </c>
    </row>
    <row r="21" spans="1:12" ht="15.95" customHeight="1">
      <c r="A21" s="131"/>
      <c r="B21" s="36" t="s">
        <v>53</v>
      </c>
      <c r="C21" s="57">
        <f t="shared" ref="C21:K21" ca="1" si="4">IF(水份质量最大值=0,C15+C20,C20+RAND()*(水份质量最大值-水份质量最小值)+水份质量最小值)</f>
        <v>655.39055533629335</v>
      </c>
      <c r="D21" s="57">
        <f t="shared" ca="1" si="4"/>
        <v>697.63461245303574</v>
      </c>
      <c r="E21" s="57">
        <f t="shared" ca="1" si="4"/>
        <v>684.85432316594927</v>
      </c>
      <c r="F21" s="57">
        <f t="shared" ca="1" si="4"/>
        <v>613.01056082460434</v>
      </c>
      <c r="G21" s="57">
        <f t="shared" ca="1" si="4"/>
        <v>678.46839325155918</v>
      </c>
      <c r="H21" s="57">
        <f t="shared" ca="1" si="4"/>
        <v>609.47989514910932</v>
      </c>
      <c r="I21" s="57">
        <f t="shared" ca="1" si="4"/>
        <v>675.53335389692279</v>
      </c>
      <c r="J21" s="57">
        <f t="shared" ca="1" si="4"/>
        <v>696.06592331883303</v>
      </c>
      <c r="K21" s="57">
        <f t="shared" ca="1" si="4"/>
        <v>583.01249764026704</v>
      </c>
      <c r="L21" s="58">
        <f ca="1">IF(水份质量最大值=0,K15+L20,L20+RAND()*(水份质量最大值-水份质量最小值)+水份质量最小值)</f>
        <v>585.33320277530538</v>
      </c>
    </row>
    <row r="22" spans="1:12" ht="15.95" customHeight="1">
      <c r="A22" s="131"/>
      <c r="B22" s="36" t="s">
        <v>54</v>
      </c>
      <c r="C22" s="57">
        <f ca="1">C21-C23</f>
        <v>601.81893443393722</v>
      </c>
      <c r="D22" s="57">
        <f ca="1">D21-D23</f>
        <v>640.50194466431265</v>
      </c>
      <c r="E22" s="57">
        <f t="shared" ref="E22:L22" ca="1" si="5">E21-E23</f>
        <v>635.94585478328634</v>
      </c>
      <c r="F22" s="57">
        <f t="shared" ca="1" si="5"/>
        <v>568.89189080221888</v>
      </c>
      <c r="G22" s="57">
        <f t="shared" ca="1" si="5"/>
        <v>625.05299655790554</v>
      </c>
      <c r="H22" s="57">
        <f t="shared" ca="1" si="5"/>
        <v>562.05612984407219</v>
      </c>
      <c r="I22" s="57">
        <f t="shared" ca="1" si="5"/>
        <v>623.60521057674589</v>
      </c>
      <c r="J22" s="57">
        <f t="shared" ca="1" si="5"/>
        <v>642.06537499831677</v>
      </c>
      <c r="K22" s="57">
        <f t="shared" ca="1" si="5"/>
        <v>540.12667372139151</v>
      </c>
      <c r="L22" s="58">
        <f t="shared" ca="1" si="5"/>
        <v>542.37964248654191</v>
      </c>
    </row>
    <row r="23" spans="1:12" ht="15.95" customHeight="1">
      <c r="A23" s="131"/>
      <c r="B23" s="36" t="s">
        <v>55</v>
      </c>
      <c r="C23" s="57">
        <f ca="1">C25*(C21-C20)/(100+C25)</f>
        <v>53.571620902356173</v>
      </c>
      <c r="D23" s="57">
        <f ca="1">D25*(D21-D20)/(100+D25)</f>
        <v>57.13266778872309</v>
      </c>
      <c r="E23" s="57">
        <f t="shared" ref="E23:L23" ca="1" si="6">E25*(E21-E20)/(100+E25)</f>
        <v>48.908468382662903</v>
      </c>
      <c r="F23" s="57">
        <f t="shared" ca="1" si="6"/>
        <v>44.118670022385416</v>
      </c>
      <c r="G23" s="57">
        <f t="shared" ca="1" si="6"/>
        <v>53.415396693653591</v>
      </c>
      <c r="H23" s="57">
        <f t="shared" ca="1" si="6"/>
        <v>47.423765305037129</v>
      </c>
      <c r="I23" s="57">
        <f t="shared" ca="1" si="6"/>
        <v>51.928143320176886</v>
      </c>
      <c r="J23" s="57">
        <f t="shared" ca="1" si="6"/>
        <v>54.000548320516302</v>
      </c>
      <c r="K23" s="57">
        <f t="shared" ca="1" si="6"/>
        <v>42.885823918875502</v>
      </c>
      <c r="L23" s="58">
        <f t="shared" ca="1" si="6"/>
        <v>42.953560288763519</v>
      </c>
    </row>
    <row r="24" spans="1:12" ht="15.95" customHeight="1">
      <c r="A24" s="131"/>
      <c r="B24" s="36" t="s">
        <v>56</v>
      </c>
      <c r="C24" s="57">
        <f ca="1">C22-C20</f>
        <v>576.03893443393724</v>
      </c>
      <c r="D24" s="57">
        <f ca="1">D22-D20</f>
        <v>614.4419446643127</v>
      </c>
      <c r="E24" s="57">
        <f t="shared" ref="E24:L24" ca="1" si="7">E22-E20</f>
        <v>611.3558547832863</v>
      </c>
      <c r="F24" s="57">
        <f t="shared" ca="1" si="7"/>
        <v>546.26189080221889</v>
      </c>
      <c r="G24" s="57">
        <f t="shared" ca="1" si="7"/>
        <v>600.17299655790555</v>
      </c>
      <c r="H24" s="57">
        <f t="shared" ca="1" si="7"/>
        <v>535.97612984407215</v>
      </c>
      <c r="I24" s="57">
        <f t="shared" ca="1" si="7"/>
        <v>596.87521057674587</v>
      </c>
      <c r="J24" s="57">
        <f t="shared" ca="1" si="7"/>
        <v>619.43537499831677</v>
      </c>
      <c r="K24" s="57">
        <f t="shared" ca="1" si="7"/>
        <v>516.69667372139156</v>
      </c>
      <c r="L24" s="58">
        <f t="shared" ca="1" si="7"/>
        <v>518.74964248654192</v>
      </c>
    </row>
    <row r="25" spans="1:12" ht="15.95" customHeight="1">
      <c r="A25" s="131"/>
      <c r="B25" s="36" t="s">
        <v>69</v>
      </c>
      <c r="C25" s="57">
        <f ca="1">ROUND(RAND()*(含水量最大值-含水量最小值)+含水量最小值,1)</f>
        <v>9.3000000000000007</v>
      </c>
      <c r="D25" s="57">
        <f ca="1">C25+0.2*RAND()-0.1</f>
        <v>9.2983020259035705</v>
      </c>
      <c r="E25" s="57">
        <f ca="1">ROUND(RAND()*(含水量最大值-含水量最小值)+含水量最小值,1)</f>
        <v>8</v>
      </c>
      <c r="F25" s="57">
        <f ca="1">E25+0.2*RAND()-0.1</f>
        <v>8.0764685886460903</v>
      </c>
      <c r="G25" s="57">
        <f ca="1">ROUND(RAND()*(含水量最大值-含水量最小值)+含水量最小值,1)</f>
        <v>8.9</v>
      </c>
      <c r="H25" s="57">
        <f ca="1">G25+0.2*RAND()-0.1</f>
        <v>8.8481114483277086</v>
      </c>
      <c r="I25" s="57">
        <f ca="1">ROUND(RAND()*(含水量最大值-含水量最小值)+含水量最小值,1)</f>
        <v>8.6999999999999993</v>
      </c>
      <c r="J25" s="57">
        <f ca="1">I25+0.2*RAND()-0.1</f>
        <v>8.7177049455180118</v>
      </c>
      <c r="K25" s="57">
        <f ca="1">ROUND(RAND()*(含水量最大值-含水量最小值)+含水量最小值,1)</f>
        <v>8.3000000000000007</v>
      </c>
      <c r="L25" s="58">
        <f ca="1">K25+0.2*RAND()-0.1</f>
        <v>8.2802100995911303</v>
      </c>
    </row>
    <row r="26" spans="1:12" ht="15.95" customHeight="1">
      <c r="A26" s="131"/>
      <c r="B26" s="36" t="s">
        <v>70</v>
      </c>
      <c r="C26" s="124">
        <f ca="1">ROUND((C25+D25)/2,1)</f>
        <v>9.3000000000000007</v>
      </c>
      <c r="D26" s="124"/>
      <c r="E26" s="124">
        <f ca="1">ROUND((E25+F25)/2,1)</f>
        <v>8</v>
      </c>
      <c r="F26" s="124"/>
      <c r="G26" s="124">
        <f ca="1">ROUND((G25+H25)/2,1)</f>
        <v>8.9</v>
      </c>
      <c r="H26" s="124"/>
      <c r="I26" s="124">
        <f ca="1">ROUND((I25+J25)/2,1)</f>
        <v>8.6999999999999993</v>
      </c>
      <c r="J26" s="124"/>
      <c r="K26" s="124">
        <f ca="1">ROUND((K25+L25)/2,1)</f>
        <v>8.3000000000000007</v>
      </c>
      <c r="L26" s="125"/>
    </row>
    <row r="27" spans="1:12" ht="15.95" customHeight="1">
      <c r="A27" s="126" t="s">
        <v>65</v>
      </c>
      <c r="B27" s="113"/>
      <c r="C27" s="124">
        <f ca="1">ROUND(C29*C28/100,3)</f>
        <v>2.2959999999999998</v>
      </c>
      <c r="D27" s="124"/>
      <c r="E27" s="124">
        <f ca="1">ROUND(E29*E28/100,3)</f>
        <v>2.327</v>
      </c>
      <c r="F27" s="124"/>
      <c r="G27" s="124">
        <f ca="1">ROUND(G29*G28/100,3)</f>
        <v>2.3340000000000001</v>
      </c>
      <c r="H27" s="124"/>
      <c r="I27" s="124">
        <f ca="1">ROUND(I29*I28/100,3)</f>
        <v>2.3410000000000002</v>
      </c>
      <c r="J27" s="124"/>
      <c r="K27" s="124">
        <f ca="1">ROUND(K29*K28/100,3)</f>
        <v>2.3340000000000001</v>
      </c>
      <c r="L27" s="125"/>
    </row>
    <row r="28" spans="1:12" ht="15.95" customHeight="1">
      <c r="A28" s="126" t="s">
        <v>66</v>
      </c>
      <c r="B28" s="113"/>
      <c r="C28" s="124">
        <f>最大干密度</f>
        <v>2.36</v>
      </c>
      <c r="D28" s="124"/>
      <c r="E28" s="124">
        <f>最大干密度</f>
        <v>2.36</v>
      </c>
      <c r="F28" s="124"/>
      <c r="G28" s="124">
        <f>最大干密度</f>
        <v>2.36</v>
      </c>
      <c r="H28" s="124"/>
      <c r="I28" s="124">
        <f>最大干密度</f>
        <v>2.36</v>
      </c>
      <c r="J28" s="124"/>
      <c r="K28" s="124">
        <f>最大干密度</f>
        <v>2.36</v>
      </c>
      <c r="L28" s="125"/>
    </row>
    <row r="29" spans="1:12" ht="15.95" customHeight="1" thickBot="1">
      <c r="A29" s="128" t="s">
        <v>67</v>
      </c>
      <c r="B29" s="129"/>
      <c r="C29" s="122">
        <f ca="1">ROUND(RAND()*(压实度最大值-压实度最小值)+压实度最小值,1)</f>
        <v>97.3</v>
      </c>
      <c r="D29" s="122"/>
      <c r="E29" s="122">
        <f ca="1">ROUND(RAND()*(压实度最大值-压实度最小值)+压实度最小值,1)</f>
        <v>98.6</v>
      </c>
      <c r="F29" s="122"/>
      <c r="G29" s="122">
        <f ca="1">ROUND(RAND()*(压实度最大值-压实度最小值)+压实度最小值,1)</f>
        <v>98.9</v>
      </c>
      <c r="H29" s="122"/>
      <c r="I29" s="122">
        <f ca="1">ROUND(RAND()*(压实度最大值-压实度最小值)+压实度最小值,1)</f>
        <v>99.2</v>
      </c>
      <c r="J29" s="122"/>
      <c r="K29" s="122">
        <f ca="1">ROUND(RAND()*(压实度最大值-压实度最小值)+压实度最小值,1)</f>
        <v>98.9</v>
      </c>
      <c r="L29" s="123"/>
    </row>
    <row r="30" spans="1:12" ht="15.95" customHeight="1">
      <c r="A30" s="130"/>
      <c r="B30" s="130"/>
      <c r="C30" s="127"/>
      <c r="D30" s="127"/>
      <c r="E30" s="127"/>
      <c r="F30" s="127"/>
      <c r="G30" s="127"/>
      <c r="H30" s="127"/>
      <c r="I30" s="127"/>
      <c r="J30" s="127"/>
      <c r="K30" s="127"/>
      <c r="L30" s="127"/>
    </row>
    <row r="31" spans="1:12" ht="15.95" customHeight="1"/>
  </sheetData>
  <protectedRanges>
    <protectedRange sqref="B2:B4 D3:E4 G3:H4 J2:J4 H5" name="区域1_1"/>
  </protectedRanges>
  <customSheetViews>
    <customSheetView guid="{FF1E879A-E9FC-4772-9EB5-FC03EFEBC3D5}" state="hidden" showRuler="0">
      <selection activeCell="A9" sqref="A9:B9"/>
      <pageMargins left="0.75" right="0.75" top="1" bottom="1" header="0.5" footer="0.5"/>
      <pageSetup paperSize="9" orientation="portrait" horizontalDpi="360" verticalDpi="360" copies="0" r:id="rId1"/>
      <headerFooter alignWithMargins="0"/>
    </customSheetView>
  </customSheetViews>
  <mergeCells count="75">
    <mergeCell ref="I27:J27"/>
    <mergeCell ref="I28:J28"/>
    <mergeCell ref="I29:J29"/>
    <mergeCell ref="I30:J30"/>
    <mergeCell ref="I14:J14"/>
    <mergeCell ref="I15:J15"/>
    <mergeCell ref="I16:J16"/>
    <mergeCell ref="I17:J17"/>
    <mergeCell ref="I18:J18"/>
    <mergeCell ref="I26:J26"/>
    <mergeCell ref="A12:B12"/>
    <mergeCell ref="C12:D12"/>
    <mergeCell ref="E12:F12"/>
    <mergeCell ref="G12:H12"/>
    <mergeCell ref="I12:J12"/>
    <mergeCell ref="I13:J13"/>
    <mergeCell ref="A14:B14"/>
    <mergeCell ref="C14:D14"/>
    <mergeCell ref="E14:F14"/>
    <mergeCell ref="G14:H14"/>
    <mergeCell ref="K12:L12"/>
    <mergeCell ref="A13:B13"/>
    <mergeCell ref="C13:D13"/>
    <mergeCell ref="E13:F13"/>
    <mergeCell ref="G13:H13"/>
    <mergeCell ref="K13:L13"/>
    <mergeCell ref="A16:B16"/>
    <mergeCell ref="C16:D16"/>
    <mergeCell ref="E16:F16"/>
    <mergeCell ref="G16:H16"/>
    <mergeCell ref="K14:L14"/>
    <mergeCell ref="A15:B15"/>
    <mergeCell ref="C15:D15"/>
    <mergeCell ref="E15:F15"/>
    <mergeCell ref="G15:H15"/>
    <mergeCell ref="K15:L15"/>
    <mergeCell ref="A18:B18"/>
    <mergeCell ref="C18:D18"/>
    <mergeCell ref="E18:F18"/>
    <mergeCell ref="G18:H18"/>
    <mergeCell ref="K16:L16"/>
    <mergeCell ref="A17:B17"/>
    <mergeCell ref="C17:D17"/>
    <mergeCell ref="E17:F17"/>
    <mergeCell ref="G17:H17"/>
    <mergeCell ref="K17:L17"/>
    <mergeCell ref="A27:B27"/>
    <mergeCell ref="C27:D27"/>
    <mergeCell ref="E27:F27"/>
    <mergeCell ref="G27:H27"/>
    <mergeCell ref="K18:L18"/>
    <mergeCell ref="A19:A26"/>
    <mergeCell ref="C26:D26"/>
    <mergeCell ref="E26:F26"/>
    <mergeCell ref="G26:H26"/>
    <mergeCell ref="K26:L26"/>
    <mergeCell ref="K30:L30"/>
    <mergeCell ref="A29:B29"/>
    <mergeCell ref="C29:D29"/>
    <mergeCell ref="E29:F29"/>
    <mergeCell ref="G29:H29"/>
    <mergeCell ref="A30:B30"/>
    <mergeCell ref="C30:D30"/>
    <mergeCell ref="E30:F30"/>
    <mergeCell ref="G30:H30"/>
    <mergeCell ref="A1:M1"/>
    <mergeCell ref="A10:C10"/>
    <mergeCell ref="H9:I9"/>
    <mergeCell ref="K29:L29"/>
    <mergeCell ref="K27:L27"/>
    <mergeCell ref="A28:B28"/>
    <mergeCell ref="C28:D28"/>
    <mergeCell ref="E28:F28"/>
    <mergeCell ref="G28:H28"/>
    <mergeCell ref="K28:L28"/>
  </mergeCells>
  <phoneticPr fontId="2" type="noConversion"/>
  <hyperlinks>
    <hyperlink ref="A9:E9" r:id="rId2" display="QQ:8151190"/>
    <hyperlink ref="A10" r:id="rId3"/>
    <hyperlink ref="A9" r:id="rId4"/>
  </hyperlinks>
  <pageMargins left="0.74803149606299213" right="0.35433070866141736" top="0.98425196850393704" bottom="0.98425196850393704" header="0.51181102362204722" footer="0.51181102362204722"/>
  <pageSetup paperSize="9" orientation="landscape" horizontalDpi="360" verticalDpi="360" r:id="rId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17</vt:i4>
      </vt:variant>
    </vt:vector>
  </HeadingPairs>
  <TitlesOfParts>
    <vt:vector size="20" baseType="lpstr">
      <vt:lpstr>备份</vt:lpstr>
      <vt:lpstr>计算</vt:lpstr>
      <vt:lpstr>辅助</vt:lpstr>
      <vt:lpstr>标准沙密度</vt:lpstr>
      <vt:lpstr>含水量差值</vt:lpstr>
      <vt:lpstr>含水量最大值</vt:lpstr>
      <vt:lpstr>含水量最小值</vt:lpstr>
      <vt:lpstr>盒号</vt:lpstr>
      <vt:lpstr>盒号随机排列</vt:lpstr>
      <vt:lpstr>盒质量</vt:lpstr>
      <vt:lpstr>沙总重</vt:lpstr>
      <vt:lpstr>水份质量最大值</vt:lpstr>
      <vt:lpstr>水份质量最小值</vt:lpstr>
      <vt:lpstr>压实度最大值</vt:lpstr>
      <vt:lpstr>压实度最小值</vt:lpstr>
      <vt:lpstr>要求压实度</vt:lpstr>
      <vt:lpstr>余沙质量最大值</vt:lpstr>
      <vt:lpstr>余沙质量最小值</vt:lpstr>
      <vt:lpstr>锥体沙重</vt:lpstr>
      <vt:lpstr>最大干密度</vt:lpstr>
    </vt:vector>
  </TitlesOfParts>
  <Company>srbg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zy</dc:creator>
  <cp:lastModifiedBy>baihei</cp:lastModifiedBy>
  <cp:lastPrinted>2007-04-06T09:48:00Z</cp:lastPrinted>
  <dcterms:created xsi:type="dcterms:W3CDTF">2003-02-15T23:53:44Z</dcterms:created>
  <dcterms:modified xsi:type="dcterms:W3CDTF">2010-01-24T14:20:33Z</dcterms:modified>
</cp:coreProperties>
</file>